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53222"/>
  <mc:AlternateContent xmlns:mc="http://schemas.openxmlformats.org/markup-compatibility/2006">
    <mc:Choice Requires="x15">
      <x15ac:absPath xmlns:x15ac="http://schemas.microsoft.com/office/spreadsheetml/2010/11/ac" url="\\fs-filesv2013\真庭市\E産業観光部\010農林振興課\001全庁共有（農林振興課）\中山間直払制度\様式\第6期対策\250407_第6期対策様式（確定）\"/>
    </mc:Choice>
  </mc:AlternateContent>
  <bookViews>
    <workbookView xWindow="-105" yWindow="-105" windowWidth="19425" windowHeight="10305" tabRatio="813" firstSheet="13"/>
  </bookViews>
  <sheets>
    <sheet name="はじめに" sheetId="34" r:id="rId1"/>
    <sheet name="プルダウンリスト" sheetId="69" r:id="rId2"/>
    <sheet name="参４_申請" sheetId="94" r:id="rId3"/>
    <sheet name="参４_申請_事業計画" sheetId="95" r:id="rId4"/>
    <sheet name="別紙１①" sheetId="24" r:id="rId5"/>
    <sheet name="別紙１②" sheetId="25" r:id="rId6"/>
    <sheet name="別紙１③" sheetId="53" r:id="rId7"/>
    <sheet name="別紙１④" sheetId="54" r:id="rId8"/>
    <sheet name="別紙２①" sheetId="65" r:id="rId9"/>
    <sheet name="別紙３" sheetId="70" r:id="rId10"/>
    <sheet name="別紙４" sheetId="67" r:id="rId11"/>
    <sheet name="別紙８ (記入例)" sheetId="108" r:id="rId12"/>
    <sheet name="別紙２②（ネットワーク化活動計画）" sheetId="72" r:id="rId13"/>
    <sheet name="別紙２③（ネットワーク化）" sheetId="73" r:id="rId14"/>
    <sheet name="別紙２④（統合）" sheetId="74" r:id="rId15"/>
    <sheet name="別紙２⑤（多様な組織等の参画）" sheetId="75" r:id="rId16"/>
    <sheet name="参10" sheetId="100" r:id="rId17"/>
    <sheet name="参12" sheetId="78" r:id="rId18"/>
    <sheet name="参13" sheetId="79" r:id="rId19"/>
    <sheet name="参14" sheetId="80" r:id="rId20"/>
    <sheet name="参17" sheetId="81" r:id="rId21"/>
    <sheet name="参17_別紙" sheetId="82" r:id="rId22"/>
    <sheet name="収支報告書（金銭出納簿連動）" sheetId="85" r:id="rId23"/>
    <sheet name="支出に係る届出" sheetId="93" r:id="rId24"/>
    <sheet name="活動記録（参考） " sheetId="92" r:id="rId25"/>
    <sheet name="【選択肢】" sheetId="91" r:id="rId26"/>
    <sheet name="金銭出納簿（今年度）（参考）" sheetId="84" r:id="rId27"/>
    <sheet name="金銭出納簿（前年度）（参考） " sheetId="87" r:id="rId28"/>
    <sheet name="活動記録（多面的機能支払交付金の様式）" sheetId="89" r:id="rId29"/>
    <sheet name="【活動項目番号表】 " sheetId="90" r:id="rId30"/>
    <sheet name="金銭出納簿（多面的機能支払交付金の様式）" sheetId="86" r:id="rId31"/>
    <sheet name="実施状況報告（様式2）" sheetId="106" r:id="rId32"/>
  </sheets>
  <definedNames>
    <definedName name="_0109集落協定の概要等" localSheetId="31">#REF!</definedName>
    <definedName name="_0109集落協定の概要等" localSheetId="11">#REF!</definedName>
    <definedName name="_0109集落協定の概要等">#REF!</definedName>
    <definedName name="_109集落協定の概要等" localSheetId="31">#REF!</definedName>
    <definedName name="_109集落協定の概要等" localSheetId="11">#REF!</definedName>
    <definedName name="_109集落協定の概要等">#REF!</definedName>
    <definedName name="_xlnm._FilterDatabase" localSheetId="31" hidden="1">'実施状況報告（様式2）'!$A$14:$AD$15</definedName>
    <definedName name="_xlnm._FilterDatabase" localSheetId="22" hidden="1">'収支報告書（金銭出納簿連動）'!#REF!</definedName>
    <definedName name="A.■か□" localSheetId="16">#REF!</definedName>
    <definedName name="A.■か□" localSheetId="17">#REF!</definedName>
    <definedName name="A.■か□" localSheetId="18">#REF!</definedName>
    <definedName name="A.■か□" localSheetId="19">#REF!</definedName>
    <definedName name="A.■か□" localSheetId="20">#REF!</definedName>
    <definedName name="A.■か□" localSheetId="21">#REF!</definedName>
    <definedName name="A.■か□" localSheetId="23">#REF!</definedName>
    <definedName name="A.■か□" localSheetId="7">#REF!</definedName>
    <definedName name="A.■か□" localSheetId="8">#REF!</definedName>
    <definedName name="A.■か□" localSheetId="9">#REF!</definedName>
    <definedName name="A.■か□" localSheetId="11">#REF!</definedName>
    <definedName name="A.■か□">#REF!</definedName>
    <definedName name="B.○か空白" localSheetId="8">#REF!</definedName>
    <definedName name="B.○か空白" localSheetId="9">#REF!</definedName>
    <definedName name="B.○か空白" localSheetId="11">#REF!</definedName>
    <definedName name="B.○か空白">#REF!</definedName>
    <definedName name="Ｃ1.計画欄" localSheetId="16">#REF!</definedName>
    <definedName name="Ｃ1.計画欄" localSheetId="17">#REF!</definedName>
    <definedName name="Ｃ1.計画欄" localSheetId="18">#REF!</definedName>
    <definedName name="Ｃ1.計画欄" localSheetId="19">#REF!</definedName>
    <definedName name="Ｃ1.計画欄" localSheetId="20">#REF!</definedName>
    <definedName name="Ｃ1.計画欄" localSheetId="21">#REF!</definedName>
    <definedName name="Ｃ1.計画欄" localSheetId="23">#REF!</definedName>
    <definedName name="Ｃ1.計画欄" localSheetId="7">#REF!</definedName>
    <definedName name="Ｃ1.計画欄" localSheetId="8">#REF!</definedName>
    <definedName name="Ｃ1.計画欄" localSheetId="9">#REF!</definedName>
    <definedName name="Ｃ1.計画欄" localSheetId="11">#REF!</definedName>
    <definedName name="Ｃ1.計画欄">#REF!</definedName>
    <definedName name="Ｃ2.実施欄" localSheetId="16">#REF!</definedName>
    <definedName name="Ｃ2.実施欄" localSheetId="17">#REF!</definedName>
    <definedName name="Ｃ2.実施欄" localSheetId="18">#REF!</definedName>
    <definedName name="Ｃ2.実施欄" localSheetId="19">#REF!</definedName>
    <definedName name="Ｃ2.実施欄" localSheetId="20">#REF!</definedName>
    <definedName name="Ｃ2.実施欄" localSheetId="21">#REF!</definedName>
    <definedName name="Ｃ2.実施欄" localSheetId="23">#REF!</definedName>
    <definedName name="Ｃ2.実施欄" localSheetId="7">#REF!</definedName>
    <definedName name="Ｃ2.実施欄" localSheetId="8">#REF!</definedName>
    <definedName name="Ｃ2.実施欄" localSheetId="9">#REF!</definedName>
    <definedName name="Ｃ2.実施欄" localSheetId="11">#REF!</definedName>
    <definedName name="Ｃ2.実施欄">#REF!</definedName>
    <definedName name="D.農村環境保全活動のテーマ" localSheetId="7">#REF!</definedName>
    <definedName name="D.農村環境保全活動のテーマ" localSheetId="8">#REF!</definedName>
    <definedName name="D.農村環境保全活動のテーマ" localSheetId="9">#REF!</definedName>
    <definedName name="D.農村環境保全活動のテーマ" localSheetId="11">#REF!</definedName>
    <definedName name="D.農村環境保全活動のテーマ">#REF!</definedName>
    <definedName name="E.高度な保全活動" localSheetId="7">#REF!</definedName>
    <definedName name="E.高度な保全活動" localSheetId="8">#REF!</definedName>
    <definedName name="E.高度な保全活動" localSheetId="9">#REF!</definedName>
    <definedName name="E.高度な保全活動" localSheetId="11">#REF!</definedName>
    <definedName name="E.高度な保全活動">#REF!</definedName>
    <definedName name="F.施設" localSheetId="7">#REF!</definedName>
    <definedName name="F.施設" localSheetId="8">#REF!</definedName>
    <definedName name="F.施設" localSheetId="9">#REF!</definedName>
    <definedName name="F.施設" localSheetId="11">#REF!</definedName>
    <definedName name="F.施設">#REF!</definedName>
    <definedName name="G.単位" localSheetId="7">#REF!</definedName>
    <definedName name="G.単位" localSheetId="8">#REF!</definedName>
    <definedName name="G.単位" localSheetId="9">#REF!</definedName>
    <definedName name="G.単位" localSheetId="11">#REF!</definedName>
    <definedName name="G.単位">#REF!</definedName>
    <definedName name="H1.構成員一覧の分類_農業者" localSheetId="16">#REF!</definedName>
    <definedName name="H1.構成員一覧の分類_農業者" localSheetId="17">#REF!</definedName>
    <definedName name="H1.構成員一覧の分類_農業者" localSheetId="18">#REF!</definedName>
    <definedName name="H1.構成員一覧の分類_農業者" localSheetId="19">#REF!</definedName>
    <definedName name="H1.構成員一覧の分類_農業者" localSheetId="20">#REF!</definedName>
    <definedName name="H1.構成員一覧の分類_農業者" localSheetId="21">#REF!</definedName>
    <definedName name="H1.構成員一覧の分類_農業者" localSheetId="23">#REF!</definedName>
    <definedName name="H1.構成員一覧の分類_農業者" localSheetId="7">#REF!</definedName>
    <definedName name="H1.構成員一覧の分類_農業者" localSheetId="8">#REF!</definedName>
    <definedName name="H1.構成員一覧の分類_農業者" localSheetId="9">#REF!</definedName>
    <definedName name="H1.構成員一覧の分類_農業者" localSheetId="11">#REF!</definedName>
    <definedName name="H1.構成員一覧の分類_農業者">#REF!</definedName>
    <definedName name="H2.構成員一覧の分類_農業者以外個人" localSheetId="16">#REF!</definedName>
    <definedName name="H2.構成員一覧の分類_農業者以外個人" localSheetId="17">#REF!</definedName>
    <definedName name="H2.構成員一覧の分類_農業者以外個人" localSheetId="18">#REF!</definedName>
    <definedName name="H2.構成員一覧の分類_農業者以外個人" localSheetId="19">#REF!</definedName>
    <definedName name="H2.構成員一覧の分類_農業者以外個人" localSheetId="20">#REF!</definedName>
    <definedName name="H2.構成員一覧の分類_農業者以外個人" localSheetId="21">#REF!</definedName>
    <definedName name="H2.構成員一覧の分類_農業者以外個人" localSheetId="23">#REF!</definedName>
    <definedName name="H2.構成員一覧の分類_農業者以外個人" localSheetId="6">#REF!</definedName>
    <definedName name="H2.構成員一覧の分類_農業者以外個人" localSheetId="7">#REF!</definedName>
    <definedName name="H2.構成員一覧の分類_農業者以外個人" localSheetId="8">#REF!</definedName>
    <definedName name="H2.構成員一覧の分類_農業者以外個人" localSheetId="9">#REF!</definedName>
    <definedName name="H2.構成員一覧の分類_農業者以外個人" localSheetId="11">#REF!</definedName>
    <definedName name="H2.構成員一覧の分類_農業者以外個人">#REF!</definedName>
    <definedName name="H3.構成員一覧の分類_農業者以外団体" localSheetId="16">#REF!</definedName>
    <definedName name="H3.構成員一覧の分類_農業者以外団体" localSheetId="17">#REF!</definedName>
    <definedName name="H3.構成員一覧の分類_農業者以外団体" localSheetId="18">#REF!</definedName>
    <definedName name="H3.構成員一覧の分類_農業者以外団体" localSheetId="19">#REF!</definedName>
    <definedName name="H3.構成員一覧の分類_農業者以外団体" localSheetId="20">#REF!</definedName>
    <definedName name="H3.構成員一覧の分類_農業者以外団体" localSheetId="21">#REF!</definedName>
    <definedName name="H3.構成員一覧の分類_農業者以外団体" localSheetId="23">#REF!</definedName>
    <definedName name="H3.構成員一覧の分類_農業者以外団体" localSheetId="6">#REF!</definedName>
    <definedName name="H3.構成員一覧の分類_農業者以外団体" localSheetId="7">#REF!</definedName>
    <definedName name="H3.構成員一覧の分類_農業者以外団体" localSheetId="8">#REF!</definedName>
    <definedName name="H3.構成員一覧の分類_農業者以外団体" localSheetId="9">#REF!</definedName>
    <definedName name="H3.構成員一覧の分類_農業者以外団体" localSheetId="11">#REF!</definedName>
    <definedName name="H3.構成員一覧の分類_農業者以外団体">#REF!</definedName>
    <definedName name="Ｉ.金銭出納簿の区分" localSheetId="16">#REF!</definedName>
    <definedName name="Ｉ.金銭出納簿の区分" localSheetId="17">#REF!</definedName>
    <definedName name="Ｉ.金銭出納簿の区分" localSheetId="18">#REF!</definedName>
    <definedName name="Ｉ.金銭出納簿の区分" localSheetId="19">#REF!</definedName>
    <definedName name="Ｉ.金銭出納簿の区分" localSheetId="20">#REF!</definedName>
    <definedName name="Ｉ.金銭出納簿の区分" localSheetId="21">#REF!</definedName>
    <definedName name="Ｉ.金銭出納簿の区分" localSheetId="23">#REF!</definedName>
    <definedName name="Ｉ.金銭出納簿の区分" localSheetId="7">#REF!</definedName>
    <definedName name="Ｉ.金銭出納簿の区分" localSheetId="8">#REF!</definedName>
    <definedName name="Ｉ.金銭出納簿の区分" localSheetId="9">#REF!</definedName>
    <definedName name="Ｉ.金銭出納簿の区分" localSheetId="11">#REF!</definedName>
    <definedName name="Ｉ.金銭出納簿の区分">#REF!</definedName>
    <definedName name="Ｊ.金銭出納簿の収支の分類" localSheetId="16">#REF!</definedName>
    <definedName name="Ｊ.金銭出納簿の収支の分類" localSheetId="17">#REF!</definedName>
    <definedName name="Ｊ.金銭出納簿の収支の分類" localSheetId="18">#REF!</definedName>
    <definedName name="Ｊ.金銭出納簿の収支の分類" localSheetId="19">#REF!</definedName>
    <definedName name="Ｊ.金銭出納簿の収支の分類" localSheetId="20">#REF!</definedName>
    <definedName name="Ｊ.金銭出納簿の収支の分類" localSheetId="21">#REF!</definedName>
    <definedName name="Ｊ.金銭出納簿の収支の分類" localSheetId="23">#REF!</definedName>
    <definedName name="Ｊ.金銭出納簿の収支の分類" localSheetId="7">#REF!</definedName>
    <definedName name="Ｊ.金銭出納簿の収支の分類" localSheetId="8">#REF!</definedName>
    <definedName name="Ｊ.金銭出納簿の収支の分類" localSheetId="9">#REF!</definedName>
    <definedName name="Ｊ.金銭出納簿の収支の分類" localSheetId="11">#REF!</definedName>
    <definedName name="Ｊ.金銭出納簿の収支の分類">#REF!</definedName>
    <definedName name="K.農村環境保全活動" localSheetId="7">#REF!</definedName>
    <definedName name="K.農村環境保全活動" localSheetId="8">#REF!</definedName>
    <definedName name="K.農村環境保全活動" localSheetId="9">#REF!</definedName>
    <definedName name="K.農村環境保全活動" localSheetId="11">#REF!</definedName>
    <definedName name="K.農村環境保全活動">#REF!</definedName>
    <definedName name="L.増進活動" localSheetId="7">#REF!</definedName>
    <definedName name="L.増進活動" localSheetId="8">#REF!</definedName>
    <definedName name="L.増進活動" localSheetId="9">#REF!</definedName>
    <definedName name="L.増進活動" localSheetId="11">#REF!</definedName>
    <definedName name="L.増進活動">#REF!</definedName>
    <definedName name="M.長寿命化" localSheetId="7">#REF!</definedName>
    <definedName name="M.長寿命化" localSheetId="8">#REF!</definedName>
    <definedName name="M.長寿命化" localSheetId="9">#REF!</definedName>
    <definedName name="M.長寿命化" localSheetId="11">#REF!</definedName>
    <definedName name="M.長寿命化">#REF!</definedName>
    <definedName name="_xlnm.Print_Area" localSheetId="29">'【活動項目番号表】 '!$A$1:$F$190</definedName>
    <definedName name="_xlnm.Print_Area" localSheetId="25">【選択肢】!$K$1:$T$90</definedName>
    <definedName name="_xlnm.Print_Area" localSheetId="0">はじめに!$A$1:$H$44</definedName>
    <definedName name="_xlnm.Print_Area" localSheetId="24">'活動記録（参考） '!$A$1:$Q$28</definedName>
    <definedName name="_xlnm.Print_Area" localSheetId="28">'活動記録（多面的機能支払交付金の様式）'!$A$1:$Q$27</definedName>
    <definedName name="_xlnm.Print_Area" localSheetId="26">'金銭出納簿（今年度）（参考）'!$A$1:$N$86</definedName>
    <definedName name="_xlnm.Print_Area" localSheetId="27">'金銭出納簿（前年度）（参考） '!$A$1:$N$86</definedName>
    <definedName name="_xlnm.Print_Area" localSheetId="30">'金銭出納簿（多面的機能支払交付金の様式）'!$A$1:$N$56</definedName>
    <definedName name="_xlnm.Print_Area" localSheetId="16">参10!$A$1:$AG$34</definedName>
    <definedName name="_xlnm.Print_Area" localSheetId="17">参12!$A$1:$AG$19</definedName>
    <definedName name="_xlnm.Print_Area" localSheetId="18">参13!$A$1:$AG$34</definedName>
    <definedName name="_xlnm.Print_Area" localSheetId="19">参14!$A$1:$AG$23</definedName>
    <definedName name="_xlnm.Print_Area" localSheetId="20">参17!$A$1:$AG$19</definedName>
    <definedName name="_xlnm.Print_Area" localSheetId="21">参17_別紙!$A$1:$P$50</definedName>
    <definedName name="_xlnm.Print_Area" localSheetId="2">参４_申請!$A$1:$G$29</definedName>
    <definedName name="_xlnm.Print_Area" localSheetId="3">参４_申請_事業計画!$A$1:$H$52</definedName>
    <definedName name="_xlnm.Print_Area" localSheetId="23">支出に係る届出!$A$1:$AG$36</definedName>
    <definedName name="_xlnm.Print_Area" localSheetId="31">'実施状況報告（様式2）'!$A$2:$AD$15</definedName>
    <definedName name="_xlnm.Print_Area" localSheetId="22">'収支報告書（金銭出納簿連動）'!$A$1:$V$48</definedName>
    <definedName name="_xlnm.Print_Area" localSheetId="4">別紙１①!$A$1:$T$67</definedName>
    <definedName name="_xlnm.Print_Area" localSheetId="6">別紙１③!$A$1:$O$61</definedName>
    <definedName name="_xlnm.Print_Area" localSheetId="7">別紙１④!$A$1:$X$280</definedName>
    <definedName name="_xlnm.Print_Area" localSheetId="8">別紙２①!$A$1:$T$32</definedName>
    <definedName name="_xlnm.Print_Area" localSheetId="12">'別紙２②（ネットワーク化活動計画）'!$A$1:$O$23</definedName>
    <definedName name="_xlnm.Print_Area" localSheetId="13">'別紙２③（ネットワーク化）'!$A$1:$O$71</definedName>
    <definedName name="_xlnm.Print_Area" localSheetId="14">'別紙２④（統合）'!$A$1:$O$58</definedName>
    <definedName name="_xlnm.Print_Area" localSheetId="15">'別紙２⑤（多様な組織等の参画）'!$A$1:$N$45</definedName>
    <definedName name="_xlnm.Print_Area" localSheetId="9">別紙３!$A$1:$AI$27</definedName>
    <definedName name="_xlnm.Print_Area" localSheetId="10">別紙４!$A$1:$AT$27</definedName>
    <definedName name="_xlnm.Print_Area" localSheetId="11">'別紙８ (記入例)'!$A$2:$Y$31</definedName>
    <definedName name="_xlnm.Print_Titles" localSheetId="24">'活動記録（参考） '!$7:$9</definedName>
    <definedName name="_xlnm.Print_Titles" localSheetId="28">'活動記録（多面的機能支払交付金の様式）'!$6:$8</definedName>
    <definedName name="_xlnm.Print_Titles" localSheetId="26">'金銭出納簿（今年度）（参考）'!$9:$9</definedName>
    <definedName name="_xlnm.Print_Titles" localSheetId="27">'金銭出納簿（前年度）（参考） '!$6:$6</definedName>
    <definedName name="_xlnm.Print_Titles" localSheetId="30">'金銭出納簿（多面的機能支払交付金の様式）'!$8:$8</definedName>
    <definedName name="Z_4D33B020_8F18_431B_BFB6_22453331905E_.wvu.PrintArea" localSheetId="26" hidden="1">'金銭出納簿（今年度）（参考）'!$A$1:$L$73</definedName>
    <definedName name="Z_4D33B020_8F18_431B_BFB6_22453331905E_.wvu.PrintArea" localSheetId="27" hidden="1">'金銭出納簿（前年度）（参考） '!$A$1:$K$70</definedName>
    <definedName name="Z_4D33B020_8F18_431B_BFB6_22453331905E_.wvu.PrintArea" localSheetId="30" hidden="1">'金銭出納簿（多面的機能支払交付金の様式）'!$A$2:$L$55</definedName>
    <definedName name="構成員" localSheetId="11">#REF!</definedName>
    <definedName name="構成員">#REF!</definedName>
    <definedName name="構成員一覧" localSheetId="11">#REF!</definedName>
    <definedName name="構成員一覧">#REF!</definedName>
    <definedName name="採草放牧地">プルダウンリスト!$D$3:$D$10</definedName>
    <definedName name="草地">プルダウンリスト!$C$3:$C$10</definedName>
    <definedName name="地目">プルダウンリスト!$A$2:$D$2</definedName>
    <definedName name="田">プルダウンリスト!$A$3:$A$10</definedName>
    <definedName name="畑">プルダウンリスト!$B$3:$B$10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P15" i="106" l="1"/>
  <c r="MZ15"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E15" i="106"/>
  <c r="MD15" i="106"/>
  <c r="MD2" i="106" s="1"/>
  <c r="MC15" i="106"/>
  <c r="MB15" i="106"/>
  <c r="MA15" i="106"/>
  <c r="LZ15" i="106"/>
  <c r="LY15" i="106"/>
  <c r="LX15" i="106"/>
  <c r="LW15" i="106"/>
  <c r="LV15" i="106"/>
  <c r="LV2" i="106" s="1"/>
  <c r="LU15" i="106"/>
  <c r="LU2" i="106" s="1"/>
  <c r="LT15" i="106"/>
  <c r="LP15" i="106"/>
  <c r="LO15" i="106"/>
  <c r="LN15" i="106"/>
  <c r="LM15" i="106"/>
  <c r="LL15" i="106"/>
  <c r="LL2" i="106" s="1"/>
  <c r="LK15" i="106"/>
  <c r="LK2" i="106" s="1"/>
  <c r="LJ15" i="106"/>
  <c r="LJ2" i="106" s="1"/>
  <c r="LH15" i="106"/>
  <c r="LH2" i="106" s="1"/>
  <c r="LG15" i="106"/>
  <c r="LF15" i="106"/>
  <c r="LE15" i="106"/>
  <c r="LD15" i="106"/>
  <c r="LC15" i="106"/>
  <c r="LC2" i="106" s="1"/>
  <c r="LB15" i="106"/>
  <c r="LB2" i="106" s="1"/>
  <c r="LA15" i="106"/>
  <c r="KZ15" i="106"/>
  <c r="KY15" i="106"/>
  <c r="KX15" i="106"/>
  <c r="KW15" i="106"/>
  <c r="KV15" i="106"/>
  <c r="KU15" i="106"/>
  <c r="KU2" i="106" s="1"/>
  <c r="KT15" i="106"/>
  <c r="KS15" i="106"/>
  <c r="KS2" i="106" s="1"/>
  <c r="KR15" i="106"/>
  <c r="KQ15" i="106"/>
  <c r="KP15" i="106"/>
  <c r="KO15" i="106"/>
  <c r="KN15" i="106"/>
  <c r="KM15" i="106"/>
  <c r="KM2" i="106" s="1"/>
  <c r="KL15" i="106"/>
  <c r="KK15" i="106"/>
  <c r="KK2" i="106" s="1"/>
  <c r="KH2" i="106"/>
  <c r="KG15" i="106"/>
  <c r="KF15" i="106"/>
  <c r="KE15" i="106"/>
  <c r="KB15" i="106"/>
  <c r="KB2" i="106" s="1"/>
  <c r="KA15" i="106"/>
  <c r="KA2" i="106" s="1"/>
  <c r="JZ15" i="106"/>
  <c r="JY15" i="106"/>
  <c r="JY2" i="106" s="1"/>
  <c r="JX15" i="106"/>
  <c r="JW15" i="106"/>
  <c r="JV15" i="106"/>
  <c r="JV2" i="106" s="1"/>
  <c r="JU15" i="106"/>
  <c r="JT15" i="106"/>
  <c r="JT2" i="106" s="1"/>
  <c r="JS15" i="106"/>
  <c r="JS2" i="106" s="1"/>
  <c r="JP15" i="106"/>
  <c r="JP2" i="106" s="1"/>
  <c r="JO15" i="106"/>
  <c r="JO2" i="106" s="1"/>
  <c r="JN15" i="106"/>
  <c r="JM15" i="106"/>
  <c r="JK15" i="106"/>
  <c r="JK2" i="106" s="1"/>
  <c r="JJ15" i="106"/>
  <c r="JJ2" i="106" s="1"/>
  <c r="JI15" i="106"/>
  <c r="JI2" i="106" s="1"/>
  <c r="JH15" i="106"/>
  <c r="JH2" i="106" s="1"/>
  <c r="JG15" i="106"/>
  <c r="IZ15" i="106"/>
  <c r="IZ2" i="106" s="1"/>
  <c r="IY15" i="106"/>
  <c r="IY2" i="106" s="1"/>
  <c r="IX15" i="106"/>
  <c r="IV15" i="106"/>
  <c r="IV2" i="106" s="1"/>
  <c r="IU15" i="106"/>
  <c r="IT15" i="106"/>
  <c r="IS15" i="106"/>
  <c r="IS2" i="106" s="1"/>
  <c r="IR15" i="106"/>
  <c r="IQ15" i="106"/>
  <c r="IQ2" i="106" s="1"/>
  <c r="IP15" i="106"/>
  <c r="IP2" i="106" s="1"/>
  <c r="IO15" i="106"/>
  <c r="IN15" i="106"/>
  <c r="IM15" i="106"/>
  <c r="IH15" i="106"/>
  <c r="IG15" i="106"/>
  <c r="IG2" i="106" s="1"/>
  <c r="IF15" i="106"/>
  <c r="IE15" i="106"/>
  <c r="IE2" i="106" s="1"/>
  <c r="ID15" i="106"/>
  <c r="ID2" i="106" s="1"/>
  <c r="IC15" i="106"/>
  <c r="IB15" i="106"/>
  <c r="IB2" i="106" s="1"/>
  <c r="IA15" i="106"/>
  <c r="IA2" i="106" s="1"/>
  <c r="HZ15" i="106"/>
  <c r="HY15" i="106"/>
  <c r="HY2" i="106" s="1"/>
  <c r="HX15" i="106"/>
  <c r="HW15" i="106"/>
  <c r="HW2" i="106" s="1"/>
  <c r="HR15" i="106"/>
  <c r="HR2" i="106" s="1"/>
  <c r="HO15" i="106"/>
  <c r="HJ15" i="106"/>
  <c r="HI15" i="106"/>
  <c r="HI2" i="106" s="1"/>
  <c r="HG15" i="106"/>
  <c r="HC15" i="106"/>
  <c r="HC2" i="106" s="1"/>
  <c r="HB15" i="106"/>
  <c r="HB2" i="106" s="1"/>
  <c r="GV15" i="106"/>
  <c r="GU15" i="106"/>
  <c r="GQ15" i="106"/>
  <c r="GQ2" i="106" s="1"/>
  <c r="GN15" i="106"/>
  <c r="GM15" i="106"/>
  <c r="GM2" i="106" s="1"/>
  <c r="GL15" i="106"/>
  <c r="GI15" i="106"/>
  <c r="GH15" i="106" s="1"/>
  <c r="GH2" i="106" s="1"/>
  <c r="FD15" i="106"/>
  <c r="FC15" i="106"/>
  <c r="FA15" i="106"/>
  <c r="FA2" i="106" s="1"/>
  <c r="EZ15" i="106"/>
  <c r="EX15" i="106"/>
  <c r="EW15" i="106"/>
  <c r="EW2" i="106" s="1"/>
  <c r="EJ15" i="106"/>
  <c r="EJ2" i="106" s="1"/>
  <c r="EH15" i="106"/>
  <c r="EH2" i="106" s="1"/>
  <c r="EG15" i="106"/>
  <c r="EG2" i="106" s="1"/>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BB15" i="106" s="1"/>
  <c r="BB2" i="106" s="1"/>
  <c r="CD15" i="106"/>
  <c r="BA15" i="106" s="1"/>
  <c r="BA2" i="106" s="1"/>
  <c r="CC15" i="106"/>
  <c r="CC2" i="106" s="1"/>
  <c r="CB15" i="106"/>
  <c r="CB2" i="106" s="1"/>
  <c r="CA15" i="106"/>
  <c r="CA2" i="106" s="1"/>
  <c r="BZ15" i="106"/>
  <c r="AW15" i="106" s="1"/>
  <c r="AW2" i="106" s="1"/>
  <c r="BY15" i="106"/>
  <c r="AV15" i="106" s="1"/>
  <c r="AV2" i="106" s="1"/>
  <c r="BW15" i="106"/>
  <c r="AT15" i="106" s="1"/>
  <c r="AT2" i="106" s="1"/>
  <c r="BV15" i="106"/>
  <c r="BV2" i="106" s="1"/>
  <c r="BU15" i="106"/>
  <c r="AR15" i="106" s="1"/>
  <c r="AR2" i="106" s="1"/>
  <c r="BT15" i="106"/>
  <c r="AQ15" i="106" s="1"/>
  <c r="AQ2" i="106" s="1"/>
  <c r="BS15" i="106"/>
  <c r="AP15" i="106" s="1"/>
  <c r="AP2" i="106" s="1"/>
  <c r="BR15" i="106"/>
  <c r="AO15" i="106" s="1"/>
  <c r="AO2" i="106" s="1"/>
  <c r="BP15" i="106"/>
  <c r="AM15" i="106" s="1"/>
  <c r="AM2" i="106" s="1"/>
  <c r="BO15" i="106"/>
  <c r="BO2" i="106" s="1"/>
  <c r="BN15" i="106"/>
  <c r="AK15" i="106" s="1"/>
  <c r="AK2" i="106" s="1"/>
  <c r="BM15" i="106"/>
  <c r="BL15" i="106"/>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F2" i="106"/>
  <c r="ME2" i="106"/>
  <c r="MC2" i="106"/>
  <c r="MB2" i="106"/>
  <c r="MA2" i="106"/>
  <c r="LZ2" i="106"/>
  <c r="LY2" i="106"/>
  <c r="LX2" i="106"/>
  <c r="LW2" i="106"/>
  <c r="LT2" i="106"/>
  <c r="LQ2" i="106"/>
  <c r="LP2" i="106"/>
  <c r="LO2" i="106"/>
  <c r="LN2" i="106"/>
  <c r="LM2" i="106"/>
  <c r="LI2" i="106"/>
  <c r="LG2" i="106"/>
  <c r="LF2" i="106"/>
  <c r="LE2" i="106"/>
  <c r="LD2" i="106"/>
  <c r="KX2" i="106"/>
  <c r="KW2" i="106"/>
  <c r="KV2" i="106"/>
  <c r="KT2" i="106"/>
  <c r="KR2" i="106"/>
  <c r="KQ2" i="106"/>
  <c r="KP2" i="106"/>
  <c r="KO2" i="106"/>
  <c r="KN2" i="106"/>
  <c r="KL2" i="106"/>
  <c r="KG2" i="106"/>
  <c r="KF2" i="106"/>
  <c r="KE2" i="106"/>
  <c r="KD2" i="106"/>
  <c r="KC2" i="106"/>
  <c r="JZ2" i="106"/>
  <c r="JX2" i="106"/>
  <c r="JW2" i="106"/>
  <c r="JU2" i="106"/>
  <c r="JQ2" i="106"/>
  <c r="JN2" i="106"/>
  <c r="JM2" i="106"/>
  <c r="JG2" i="106"/>
  <c r="JF2" i="106"/>
  <c r="JE2" i="106"/>
  <c r="JD2" i="106"/>
  <c r="JC2" i="106"/>
  <c r="JB2" i="106"/>
  <c r="IX2" i="106"/>
  <c r="IU2" i="106"/>
  <c r="IT2" i="106"/>
  <c r="IR2" i="106"/>
  <c r="IO2" i="106"/>
  <c r="IN2" i="106"/>
  <c r="IM2" i="106"/>
  <c r="IK2" i="106"/>
  <c r="IJ2" i="106"/>
  <c r="II2" i="106"/>
  <c r="IH2" i="106"/>
  <c r="IF2" i="106"/>
  <c r="IC2" i="106"/>
  <c r="HZ2" i="106"/>
  <c r="HX2" i="106"/>
  <c r="HU2" i="106"/>
  <c r="HS2" i="106"/>
  <c r="HO2" i="106"/>
  <c r="HK2" i="106"/>
  <c r="HJ2" i="106"/>
  <c r="HH2" i="106"/>
  <c r="HG2" i="106"/>
  <c r="HD2" i="106"/>
  <c r="HA2" i="106"/>
  <c r="GW2" i="106"/>
  <c r="GV2" i="106"/>
  <c r="GU2" i="106"/>
  <c r="GT2" i="106"/>
  <c r="GS2" i="106"/>
  <c r="GR2" i="106"/>
  <c r="GP2" i="106"/>
  <c r="GO2" i="106"/>
  <c r="GN2" i="106"/>
  <c r="GL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D2" i="106"/>
  <c r="FC2" i="106"/>
  <c r="FB2" i="106"/>
  <c r="EZ2" i="106"/>
  <c r="EY2" i="106"/>
  <c r="EX2" i="106"/>
  <c r="EV2" i="106"/>
  <c r="EP2" i="106"/>
  <c r="EI2" i="106"/>
  <c r="ED2" i="106"/>
  <c r="EB2" i="106"/>
  <c r="EA2" i="106"/>
  <c r="DZ2" i="106"/>
  <c r="DY2" i="106"/>
  <c r="DX2" i="106"/>
  <c r="DW2" i="106"/>
  <c r="DV2" i="106"/>
  <c r="DU2" i="106"/>
  <c r="DT2" i="106"/>
  <c r="DR2" i="106"/>
  <c r="DQ2" i="106"/>
  <c r="CL2" i="106"/>
  <c r="J2" i="106"/>
  <c r="A2" i="106"/>
  <c r="AI15" i="106" l="1"/>
  <c r="AI2" i="106" s="1"/>
  <c r="MO15" i="106"/>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R47" i="24"/>
  <c r="E62" i="84"/>
  <c r="H51" i="87"/>
  <c r="H51" i="84"/>
  <c r="I51" i="84" s="1"/>
  <c r="G51" i="87"/>
  <c r="G51" i="84"/>
  <c r="I10" i="84"/>
  <c r="I11" i="84" s="1"/>
  <c r="I12" i="84" s="1"/>
  <c r="I13" i="84" s="1"/>
  <c r="I14" i="84" s="1"/>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L4" i="84"/>
  <c r="Q2" i="92"/>
  <c r="P10" i="92"/>
  <c r="O10" i="92"/>
  <c r="N10" i="92"/>
  <c r="G10" i="92"/>
  <c r="F48" i="85"/>
  <c r="S40" i="85"/>
  <c r="P40"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E62" i="87"/>
  <c r="F110" i="84"/>
  <c r="F109" i="84"/>
  <c r="F108" i="84"/>
  <c r="F107" i="84"/>
  <c r="F106" i="84"/>
  <c r="F105" i="84"/>
  <c r="F104" i="84"/>
  <c r="F103" i="84"/>
  <c r="F102" i="84"/>
  <c r="F101" i="84"/>
  <c r="F100" i="84"/>
  <c r="F99" i="84"/>
  <c r="F98" i="84"/>
  <c r="F97" i="84"/>
  <c r="F96" i="84"/>
  <c r="F95" i="84"/>
  <c r="F94" i="84"/>
  <c r="E93" i="84"/>
  <c r="E92" i="84"/>
  <c r="E91" i="84"/>
  <c r="E91" i="87"/>
  <c r="P81" i="91"/>
  <c r="P82" i="91"/>
  <c r="P83" i="91"/>
  <c r="P84" i="91"/>
  <c r="P76" i="91"/>
  <c r="P74" i="91"/>
  <c r="P77" i="91"/>
  <c r="P73" i="91"/>
  <c r="P75" i="91"/>
  <c r="P78" i="91"/>
  <c r="P79" i="91"/>
  <c r="P80" i="91"/>
  <c r="I51" i="87" l="1"/>
  <c r="M13" i="106"/>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F111" i="84"/>
  <c r="DV13" i="106" l="1"/>
  <c r="DW13" i="106" s="1"/>
  <c r="DX13" i="106" s="1"/>
  <c r="DY13" i="106" s="1"/>
  <c r="DZ13" i="106" s="1"/>
  <c r="EA13" i="106" s="1"/>
  <c r="EB13" i="106" s="1"/>
  <c r="CM2" i="106"/>
  <c r="AE15" i="106"/>
  <c r="AF15" i="106"/>
  <c r="AF2" i="106" s="1"/>
  <c r="F110" i="87"/>
  <c r="F109" i="87"/>
  <c r="F108" i="87"/>
  <c r="K107" i="87"/>
  <c r="AA29" i="85" s="1"/>
  <c r="F107" i="87"/>
  <c r="K106" i="87"/>
  <c r="AA28" i="85" s="1"/>
  <c r="I106" i="87"/>
  <c r="F106" i="87"/>
  <c r="F105" i="87"/>
  <c r="F104" i="87"/>
  <c r="K103" i="87"/>
  <c r="AA25" i="85" s="1"/>
  <c r="I103" i="87"/>
  <c r="F103" i="87"/>
  <c r="F102" i="87"/>
  <c r="F101" i="87"/>
  <c r="F100" i="87"/>
  <c r="F99" i="87"/>
  <c r="F98" i="87"/>
  <c r="F97" i="87"/>
  <c r="F96" i="87"/>
  <c r="F95" i="87"/>
  <c r="F94" i="87"/>
  <c r="E93" i="87"/>
  <c r="E92" i="87"/>
  <c r="E112" i="87" s="1"/>
  <c r="J91" i="87"/>
  <c r="D49" i="87"/>
  <c r="D48" i="87"/>
  <c r="D47" i="87"/>
  <c r="D46" i="87"/>
  <c r="D45" i="87"/>
  <c r="D44" i="87"/>
  <c r="D43" i="87"/>
  <c r="D42" i="87"/>
  <c r="D41" i="87"/>
  <c r="D40" i="87"/>
  <c r="D39" i="87"/>
  <c r="D38" i="87"/>
  <c r="K108" i="87" s="1"/>
  <c r="AA30" i="85" s="1"/>
  <c r="D37" i="87"/>
  <c r="K102" i="87" s="1"/>
  <c r="AA24" i="85" s="1"/>
  <c r="D36" i="87"/>
  <c r="K109" i="87" s="1"/>
  <c r="AA31" i="85" s="1"/>
  <c r="D35" i="87"/>
  <c r="I107" i="87" s="1"/>
  <c r="D34" i="87"/>
  <c r="I105" i="87" s="1"/>
  <c r="D33" i="87"/>
  <c r="K110" i="87" s="1"/>
  <c r="AA32" i="85" s="1"/>
  <c r="D32" i="87"/>
  <c r="D31" i="87"/>
  <c r="D30" i="87"/>
  <c r="D29" i="87"/>
  <c r="D28" i="87"/>
  <c r="D27" i="87"/>
  <c r="D26" i="87"/>
  <c r="K95" i="87" s="1"/>
  <c r="D25" i="87"/>
  <c r="K94" i="87" s="1"/>
  <c r="D24" i="87"/>
  <c r="J92" i="87" s="1"/>
  <c r="D23" i="87"/>
  <c r="K104" i="87" s="1"/>
  <c r="AA26" i="85" s="1"/>
  <c r="D22" i="87"/>
  <c r="D21" i="87"/>
  <c r="K100" i="87" s="1"/>
  <c r="AA22" i="85" s="1"/>
  <c r="D20" i="87"/>
  <c r="D19" i="87"/>
  <c r="D18" i="87"/>
  <c r="K96" i="87" s="1"/>
  <c r="AA18" i="85" s="1"/>
  <c r="D17" i="87"/>
  <c r="D16" i="87"/>
  <c r="K99" i="87" s="1"/>
  <c r="AA21" i="85" s="1"/>
  <c r="D15" i="87"/>
  <c r="K98" i="87" s="1"/>
  <c r="AA20" i="85" s="1"/>
  <c r="D14" i="87"/>
  <c r="D13" i="87"/>
  <c r="K101" i="87" s="1"/>
  <c r="AA23" i="85" s="1"/>
  <c r="D12" i="87"/>
  <c r="D11" i="87"/>
  <c r="D10" i="87"/>
  <c r="H91" i="87" s="1"/>
  <c r="L4" i="87"/>
  <c r="Z8" i="93"/>
  <c r="Z9" i="93"/>
  <c r="F16" i="82"/>
  <c r="O18" i="82"/>
  <c r="O16" i="82"/>
  <c r="L20" i="82"/>
  <c r="L18" i="82"/>
  <c r="L16" i="82"/>
  <c r="I18" i="82"/>
  <c r="I23" i="82" s="1"/>
  <c r="I16" i="82"/>
  <c r="F18" i="82"/>
  <c r="C21" i="82"/>
  <c r="C17" i="82"/>
  <c r="C19" i="82"/>
  <c r="M23" i="82"/>
  <c r="J23" i="82"/>
  <c r="G23" i="82"/>
  <c r="D23" i="82"/>
  <c r="G4" i="82"/>
  <c r="I99" i="87" l="1"/>
  <c r="I97" i="87"/>
  <c r="H92" i="87"/>
  <c r="H112" i="87" s="1"/>
  <c r="I110" i="87"/>
  <c r="I94" i="87"/>
  <c r="H93" i="87"/>
  <c r="EC13" i="106"/>
  <c r="ED13" i="106" s="1"/>
  <c r="EE13" i="106" s="1"/>
  <c r="EF13" i="106" s="1"/>
  <c r="EG13" i="106" s="1"/>
  <c r="EH13" i="106" s="1"/>
  <c r="EI13" i="106" s="1"/>
  <c r="EJ13" i="106" s="1"/>
  <c r="I102" i="87"/>
  <c r="I100" i="87"/>
  <c r="K105" i="87"/>
  <c r="AA27" i="85" s="1"/>
  <c r="I108" i="87"/>
  <c r="I95" i="87"/>
  <c r="I98" i="87"/>
  <c r="I109" i="87"/>
  <c r="I101" i="87"/>
  <c r="J93" i="87"/>
  <c r="J112" i="87" s="1"/>
  <c r="I96" i="87"/>
  <c r="I104" i="87"/>
  <c r="K97" i="87"/>
  <c r="AA19" i="85" s="1"/>
  <c r="O23" i="82"/>
  <c r="L23" i="82"/>
  <c r="F23" i="82"/>
  <c r="C31" i="82" s="1"/>
  <c r="C23" i="82"/>
  <c r="K22" i="100"/>
  <c r="X7" i="100"/>
  <c r="B103" i="54"/>
  <c r="L60" i="54"/>
  <c r="A1" i="54"/>
  <c r="F6" i="94"/>
  <c r="F5" i="94"/>
  <c r="EK13" i="106" l="1"/>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G7" i="24"/>
  <c r="W9" i="81"/>
  <c r="W8" i="81"/>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O46" i="24"/>
  <c r="G6" i="95"/>
  <c r="G5" i="95"/>
  <c r="F31" i="65"/>
  <c r="V18" i="65"/>
  <c r="G8" i="82"/>
  <c r="G6" i="82"/>
  <c r="F28" i="92"/>
  <c r="E28" i="92"/>
  <c r="P24" i="92"/>
  <c r="O24" i="92"/>
  <c r="N24" i="92"/>
  <c r="G24" i="92"/>
  <c r="P23" i="92"/>
  <c r="O23" i="92"/>
  <c r="N23" i="92"/>
  <c r="G23" i="92"/>
  <c r="P22" i="92"/>
  <c r="O22" i="92"/>
  <c r="N22" i="92"/>
  <c r="G22" i="92"/>
  <c r="P21" i="92"/>
  <c r="O21" i="92"/>
  <c r="N21" i="92"/>
  <c r="G21" i="92"/>
  <c r="P20" i="92"/>
  <c r="O20" i="92"/>
  <c r="N20" i="92"/>
  <c r="G20" i="92"/>
  <c r="P19" i="92"/>
  <c r="O19" i="92"/>
  <c r="N19" i="92"/>
  <c r="G19" i="92"/>
  <c r="P18" i="92"/>
  <c r="O18" i="92"/>
  <c r="N18" i="92"/>
  <c r="G18" i="92"/>
  <c r="P17" i="92"/>
  <c r="O17" i="92"/>
  <c r="N17" i="92"/>
  <c r="G17" i="92"/>
  <c r="P16" i="92"/>
  <c r="O16" i="92"/>
  <c r="N16" i="92"/>
  <c r="G16" i="92"/>
  <c r="P15" i="92"/>
  <c r="O15" i="92"/>
  <c r="N15" i="92"/>
  <c r="G15" i="92"/>
  <c r="P14" i="92"/>
  <c r="O14" i="92"/>
  <c r="N14" i="92"/>
  <c r="G14" i="92"/>
  <c r="P13" i="92"/>
  <c r="O13" i="92"/>
  <c r="N13" i="92"/>
  <c r="G13" i="92"/>
  <c r="P12" i="92"/>
  <c r="O12" i="92"/>
  <c r="N12" i="92"/>
  <c r="G12" i="92"/>
  <c r="P11" i="92"/>
  <c r="O11" i="92"/>
  <c r="N11" i="92"/>
  <c r="G11" i="92"/>
  <c r="P85" i="91"/>
  <c r="P72" i="91"/>
  <c r="P71" i="91"/>
  <c r="P70" i="91"/>
  <c r="P69" i="91"/>
  <c r="P68" i="91"/>
  <c r="P67" i="91"/>
  <c r="P66" i="91"/>
  <c r="P65" i="91"/>
  <c r="P64" i="91"/>
  <c r="P63" i="91"/>
  <c r="P62" i="91"/>
  <c r="P61" i="91"/>
  <c r="P60" i="91"/>
  <c r="P59" i="91"/>
  <c r="P58" i="91"/>
  <c r="P57" i="91"/>
  <c r="P56" i="91"/>
  <c r="P55" i="91"/>
  <c r="P54" i="91"/>
  <c r="P53" i="91"/>
  <c r="P52" i="91"/>
  <c r="P51" i="91"/>
  <c r="P50" i="91"/>
  <c r="P49" i="91"/>
  <c r="P48" i="91"/>
  <c r="P47" i="91"/>
  <c r="P46" i="91"/>
  <c r="P45" i="91"/>
  <c r="P44" i="91"/>
  <c r="P43" i="91"/>
  <c r="P42" i="91"/>
  <c r="P41" i="91"/>
  <c r="P40" i="91"/>
  <c r="P39" i="91"/>
  <c r="P38" i="91"/>
  <c r="P37" i="91"/>
  <c r="P36" i="91"/>
  <c r="P35" i="91"/>
  <c r="P34" i="91"/>
  <c r="P33" i="91"/>
  <c r="P32" i="91"/>
  <c r="P31" i="91"/>
  <c r="P30" i="91"/>
  <c r="P29" i="91"/>
  <c r="P28" i="91"/>
  <c r="P27" i="91"/>
  <c r="P26" i="91"/>
  <c r="P25" i="91"/>
  <c r="P24" i="91"/>
  <c r="P23" i="91"/>
  <c r="P22" i="91"/>
  <c r="P21" i="91"/>
  <c r="P20" i="91"/>
  <c r="P19" i="91"/>
  <c r="P18" i="91"/>
  <c r="P17" i="91"/>
  <c r="P16" i="91"/>
  <c r="P15" i="91"/>
  <c r="P14" i="91"/>
  <c r="P13" i="91"/>
  <c r="P12" i="91"/>
  <c r="P11" i="91"/>
  <c r="P10" i="91"/>
  <c r="P9" i="91"/>
  <c r="P8" i="91"/>
  <c r="P7" i="91"/>
  <c r="P6" i="91"/>
  <c r="F27" i="89"/>
  <c r="E27" i="89"/>
  <c r="P23" i="89"/>
  <c r="O23" i="89"/>
  <c r="N23" i="89"/>
  <c r="G23" i="89"/>
  <c r="P22" i="89"/>
  <c r="O22" i="89"/>
  <c r="N22" i="89"/>
  <c r="G22" i="89"/>
  <c r="P21" i="89"/>
  <c r="O21" i="89"/>
  <c r="N21" i="89"/>
  <c r="G21" i="89"/>
  <c r="P20" i="89"/>
  <c r="O20" i="89"/>
  <c r="N20" i="89"/>
  <c r="G20" i="89"/>
  <c r="P19" i="89"/>
  <c r="O19" i="89"/>
  <c r="N19" i="89"/>
  <c r="G19" i="89"/>
  <c r="P18" i="89"/>
  <c r="O18" i="89"/>
  <c r="N18" i="89"/>
  <c r="G18" i="89"/>
  <c r="P17" i="89"/>
  <c r="O17" i="89"/>
  <c r="N17" i="89"/>
  <c r="G17" i="89"/>
  <c r="P16" i="89"/>
  <c r="O16" i="89"/>
  <c r="N16" i="89"/>
  <c r="G16" i="89"/>
  <c r="P15" i="89"/>
  <c r="O15" i="89"/>
  <c r="N15" i="89"/>
  <c r="G15" i="89"/>
  <c r="P14" i="89"/>
  <c r="O14" i="89"/>
  <c r="N14" i="89"/>
  <c r="G14" i="89"/>
  <c r="P13" i="89"/>
  <c r="O13" i="89"/>
  <c r="N13" i="89"/>
  <c r="G13" i="89"/>
  <c r="P12" i="89"/>
  <c r="O12" i="89"/>
  <c r="N12" i="89"/>
  <c r="G12" i="89"/>
  <c r="P11" i="89"/>
  <c r="O11" i="89"/>
  <c r="N11" i="89"/>
  <c r="G11" i="89"/>
  <c r="P10" i="89"/>
  <c r="O10" i="89"/>
  <c r="N10" i="89"/>
  <c r="G10" i="89"/>
  <c r="P9" i="89"/>
  <c r="O9" i="89"/>
  <c r="N9" i="89"/>
  <c r="G9" i="89"/>
  <c r="G27" i="89" l="1"/>
  <c r="E25" i="75"/>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G28" i="92"/>
  <c r="N110" i="54"/>
  <c r="P110" i="54" s="1"/>
  <c r="N119" i="54"/>
  <c r="P119" i="54" s="1"/>
  <c r="A274"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6" i="54"/>
  <c r="A270" i="54"/>
  <c r="GZ15" i="106"/>
  <c r="GZ2" i="106" s="1"/>
  <c r="A262" i="54"/>
  <c r="FJ15" i="106"/>
  <c r="FJ2" i="106" s="1"/>
  <c r="GY2" i="106"/>
  <c r="GX15" i="106"/>
  <c r="GX2" i="106" s="1"/>
  <c r="HF15" i="106"/>
  <c r="Y2" i="85"/>
  <c r="G6" i="65"/>
  <c r="A248"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K42" i="86"/>
  <c r="J42" i="86"/>
  <c r="E42" i="86"/>
  <c r="K41" i="86"/>
  <c r="J41" i="86"/>
  <c r="E41" i="86"/>
  <c r="K40" i="86"/>
  <c r="J40" i="86"/>
  <c r="E40" i="86"/>
  <c r="K39" i="86"/>
  <c r="J39" i="86"/>
  <c r="E39" i="86"/>
  <c r="K38" i="86"/>
  <c r="J38" i="86"/>
  <c r="E38" i="86"/>
  <c r="I37" i="86"/>
  <c r="D37" i="86"/>
  <c r="I36" i="86"/>
  <c r="D36" i="86"/>
  <c r="I35" i="86"/>
  <c r="D35" i="86"/>
  <c r="H29" i="86"/>
  <c r="G29" i="86"/>
  <c r="I10" i="86"/>
  <c r="I11" i="86" s="1"/>
  <c r="I12" i="86" s="1"/>
  <c r="I13" i="86" s="1"/>
  <c r="I14" i="86" s="1"/>
  <c r="I15" i="86" s="1"/>
  <c r="I16" i="86" s="1"/>
  <c r="I17" i="86" s="1"/>
  <c r="I18" i="86" s="1"/>
  <c r="I19" i="86" s="1"/>
  <c r="I20" i="86" s="1"/>
  <c r="I21" i="86" s="1"/>
  <c r="I22" i="86" s="1"/>
  <c r="I23" i="86" s="1"/>
  <c r="I24" i="86" s="1"/>
  <c r="I25" i="86" s="1"/>
  <c r="I26" i="86" s="1"/>
  <c r="I27" i="86" s="1"/>
  <c r="I9" i="86"/>
  <c r="MY13" i="106" l="1"/>
  <c r="MZ13" i="106" s="1"/>
  <c r="NA13" i="106" s="1"/>
  <c r="NB13" i="106" s="1"/>
  <c r="NC13" i="106" s="1"/>
  <c r="ND13" i="106" s="1"/>
  <c r="NE13" i="106" s="1"/>
  <c r="NF13" i="106" s="1"/>
  <c r="NG13" i="106" s="1"/>
  <c r="NH13" i="106" s="1"/>
  <c r="E112" i="84"/>
  <c r="D44" i="86"/>
  <c r="E43" i="86" s="1"/>
  <c r="E44" i="86" s="1"/>
  <c r="I29" i="86"/>
  <c r="I44" i="86"/>
  <c r="J43" i="86" s="1"/>
  <c r="J44" i="86" s="1"/>
  <c r="NI13" i="106" l="1"/>
  <c r="NJ13" i="106" s="1"/>
  <c r="NK13" i="106" s="1"/>
  <c r="NL13" i="106" s="1"/>
  <c r="NM13" i="106" s="1"/>
  <c r="NN13" i="106" s="1"/>
  <c r="NO13" i="106" s="1"/>
  <c r="NP13" i="106" s="1"/>
  <c r="NQ13" i="106" s="1"/>
  <c r="NR13" i="106" s="1"/>
  <c r="NS13" i="106" s="1"/>
  <c r="NT13" i="106" s="1"/>
  <c r="NU13" i="106" s="1"/>
  <c r="NV13" i="106" s="1"/>
  <c r="NW13" i="106" s="1"/>
  <c r="NX13" i="106" s="1"/>
  <c r="NY13" i="106" s="1"/>
  <c r="NZ13" i="106" s="1"/>
  <c r="OA13" i="106" s="1"/>
  <c r="OB13" i="106" s="1"/>
  <c r="M48" i="85"/>
  <c r="J48" i="85"/>
  <c r="S44" i="85"/>
  <c r="P44" i="85"/>
  <c r="S43" i="85"/>
  <c r="P43" i="85"/>
  <c r="S42" i="85"/>
  <c r="P42" i="85"/>
  <c r="S41" i="85"/>
  <c r="S48" i="85" s="1"/>
  <c r="P41" i="85"/>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D24" i="84"/>
  <c r="D23" i="84"/>
  <c r="I104" i="84" s="1"/>
  <c r="D22" i="84"/>
  <c r="D21" i="84"/>
  <c r="D20" i="84"/>
  <c r="D19" i="84"/>
  <c r="D18" i="84"/>
  <c r="D17" i="84"/>
  <c r="D16" i="84"/>
  <c r="D15" i="84"/>
  <c r="D14" i="84"/>
  <c r="D13" i="84"/>
  <c r="D12" i="84"/>
  <c r="D11" i="84"/>
  <c r="D10" i="84"/>
  <c r="H91" i="84" s="1"/>
  <c r="I94" i="84" l="1"/>
  <c r="P48" i="85"/>
  <c r="K101" i="84"/>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K97" i="84"/>
  <c r="K109" i="84"/>
  <c r="I109" i="84"/>
  <c r="Z31" i="85" s="1"/>
  <c r="J31" i="85" s="1"/>
  <c r="K98" i="84"/>
  <c r="I98" i="84"/>
  <c r="Z20" i="85" s="1"/>
  <c r="J20" i="85" s="1"/>
  <c r="J92" i="84"/>
  <c r="H92" i="84"/>
  <c r="J91" i="84"/>
  <c r="K94" i="84"/>
  <c r="K110" i="84"/>
  <c r="I110" i="84"/>
  <c r="Z32" i="85" s="1"/>
  <c r="J32" i="85" s="1"/>
  <c r="K96" i="84"/>
  <c r="I96" i="84"/>
  <c r="Z18" i="85" s="1"/>
  <c r="J18" i="85" s="1"/>
  <c r="K95" i="84"/>
  <c r="I95" i="84"/>
  <c r="I105" i="84"/>
  <c r="Z27" i="85" s="1"/>
  <c r="J27" i="85" s="1"/>
  <c r="K105" i="84"/>
  <c r="Z19" i="85" l="1"/>
  <c r="J19" i="85" s="1"/>
  <c r="J33" i="85" s="1"/>
  <c r="J34" i="85" s="1"/>
  <c r="F111" i="87"/>
  <c r="F112" i="87" s="1"/>
  <c r="K111" i="87"/>
  <c r="K112" i="87" s="1"/>
  <c r="Z33" i="85"/>
  <c r="J112" i="84"/>
  <c r="I112" i="84"/>
  <c r="H112" i="84"/>
  <c r="F112" i="84"/>
  <c r="K111" i="84"/>
  <c r="K112" i="84" s="1"/>
  <c r="D15" i="69" l="1"/>
  <c r="D43" i="69"/>
  <c r="V20" i="65"/>
  <c r="V21" i="65"/>
  <c r="V22" i="65"/>
  <c r="V23" i="65"/>
  <c r="V24" i="65"/>
  <c r="V25" i="65"/>
  <c r="V26" i="65"/>
  <c r="V27" i="65"/>
  <c r="V28" i="65"/>
  <c r="V29" i="65"/>
  <c r="V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G8" i="65" l="1"/>
  <c r="HM15" i="106" l="1"/>
  <c r="HM2" i="106" s="1"/>
  <c r="F3" i="25"/>
  <c r="B3" i="25"/>
  <c r="O56" i="54" l="1"/>
  <c r="T56" i="54"/>
  <c r="E58" i="54"/>
  <c r="E56" i="54"/>
  <c r="J56" i="54"/>
  <c r="T71" i="54" l="1"/>
  <c r="A256" i="54" l="1"/>
  <c r="D49" i="69" l="1"/>
  <c r="D21" i="69"/>
  <c r="A259" i="54" l="1"/>
  <c r="O3" i="67" l="1"/>
  <c r="A277" i="54" l="1"/>
  <c r="A265" i="54"/>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Z22" i="100" l="1"/>
  <c r="I18" i="65"/>
  <c r="J18" i="65" s="1"/>
  <c r="M56" i="54"/>
  <c r="N56" i="54" s="1"/>
  <c r="H56" i="54"/>
  <c r="I56" i="54" s="1"/>
  <c r="H59" i="54"/>
  <c r="I59" i="54" s="1"/>
  <c r="R56" i="54"/>
  <c r="S56" i="54" s="1"/>
  <c r="W56" i="54"/>
  <c r="X56" i="54" s="1"/>
  <c r="K48" i="24"/>
  <c r="E63" i="54"/>
  <c r="M48" i="24"/>
  <c r="H48" i="24"/>
  <c r="E48" i="24"/>
  <c r="I28" i="65"/>
  <c r="J28" i="65" s="1"/>
  <c r="I29" i="65"/>
  <c r="J29" i="65" s="1"/>
  <c r="I27" i="65"/>
  <c r="J27" i="65" s="1"/>
  <c r="I21" i="65"/>
  <c r="J21" i="65" s="1"/>
  <c r="I25" i="65"/>
  <c r="J25" i="65" s="1"/>
  <c r="I23" i="65"/>
  <c r="J23" i="65" s="1"/>
  <c r="I22" i="65"/>
  <c r="J22" i="65" s="1"/>
  <c r="I26" i="65"/>
  <c r="J26" i="65" s="1"/>
  <c r="I20" i="65"/>
  <c r="J20" i="65" s="1"/>
  <c r="I24" i="65"/>
  <c r="J24" i="65" s="1"/>
  <c r="H57" i="54"/>
  <c r="I57" i="54" s="1"/>
  <c r="W58" i="54"/>
  <c r="X58" i="54" s="1"/>
  <c r="R60" i="54"/>
  <c r="S60" i="54" s="1"/>
  <c r="M60" i="54"/>
  <c r="N60" i="54" s="1"/>
  <c r="H58" i="54"/>
  <c r="I58" i="54" s="1"/>
  <c r="W57" i="54"/>
  <c r="X57" i="54" s="1"/>
  <c r="R59" i="54"/>
  <c r="S59" i="54" s="1"/>
  <c r="M59" i="54"/>
  <c r="N59" i="54" s="1"/>
  <c r="H61" i="54"/>
  <c r="I61" i="54" s="1"/>
  <c r="W60" i="54"/>
  <c r="X60" i="54" s="1"/>
  <c r="R58" i="54"/>
  <c r="S58" i="54" s="1"/>
  <c r="R62" i="54"/>
  <c r="S62" i="54" s="1"/>
  <c r="M58" i="54"/>
  <c r="N58" i="54" s="1"/>
  <c r="H60" i="54"/>
  <c r="I60" i="54" s="1"/>
  <c r="W59" i="54"/>
  <c r="X59" i="54" s="1"/>
  <c r="R57" i="54"/>
  <c r="S57" i="54" s="1"/>
  <c r="R61" i="54"/>
  <c r="S61" i="54" s="1"/>
  <c r="M57" i="54"/>
  <c r="N57" i="54" s="1"/>
  <c r="M61" i="54"/>
  <c r="N61" i="54" s="1"/>
  <c r="I19" i="65"/>
  <c r="J19" i="65" s="1"/>
  <c r="O63" i="54"/>
  <c r="J47" i="24" s="1"/>
  <c r="T63" i="54"/>
  <c r="L47" i="24" s="1"/>
  <c r="J63" i="54"/>
  <c r="G47" i="24" s="1"/>
  <c r="N33" i="54"/>
  <c r="I63" i="54" l="1"/>
  <c r="D47" i="24"/>
  <c r="C63" i="54"/>
  <c r="S63" i="54"/>
  <c r="N63" i="54"/>
  <c r="X63" i="54"/>
  <c r="U240" i="54" l="1"/>
  <c r="DP15" i="106"/>
  <c r="O47" i="24"/>
  <c r="F11" i="73"/>
  <c r="F15" i="73" s="1"/>
  <c r="KJ15" i="106" s="1"/>
  <c r="KJ2" i="106" s="1"/>
  <c r="F11" i="74"/>
  <c r="F15" i="74" s="1"/>
  <c r="LS15" i="106" s="1"/>
  <c r="LS2" i="106" s="1"/>
  <c r="J38" i="24"/>
  <c r="HN15" i="106" l="1"/>
  <c r="DP2" i="106"/>
  <c r="HN2" i="106" l="1"/>
  <c r="HT15" i="106"/>
  <c r="HT2" i="106" s="1"/>
  <c r="HP15" i="106"/>
  <c r="HP2" i="106" l="1"/>
  <c r="HQ2" i="106" s="1"/>
  <c r="HQ15" i="106"/>
  <c r="B64" i="24"/>
  <c r="G7" i="82"/>
  <c r="H3" i="25"/>
  <c r="G9" i="82"/>
  <c r="G5" i="82"/>
  <c r="S47" i="24" l="1"/>
</calcChain>
</file>

<file path=xl/sharedStrings.xml><?xml version="1.0" encoding="utf-8"?>
<sst xmlns="http://schemas.openxmlformats.org/spreadsheetml/2006/main" count="4590" uniqueCount="2447">
  <si>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</si>
  <si>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</si>
  <si>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</si>
  <si>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</si>
  <si>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</si>
  <si>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</si>
  <si>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</si>
  <si>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</si>
  <si>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</si>
  <si>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</si>
  <si>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</si>
  <si>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</si>
  <si>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</si>
  <si>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</si>
  <si>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</si>
  <si>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</si>
  <si>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</si>
  <si>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</si>
  <si>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</si>
  <si>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</si>
  <si>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</si>
  <si>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</si>
  <si>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</si>
  <si>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</si>
  <si>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</si>
  <si>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</si>
  <si>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</si>
  <si>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</si>
  <si>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</si>
  <si>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</si>
  <si>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</si>
  <si>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</si>
  <si>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</si>
  <si>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</si>
  <si>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</si>
  <si>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</si>
  <si>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</si>
  <si>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</si>
  <si>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</si>
  <si>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</si>
  <si>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</si>
  <si>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</si>
  <si>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</si>
  <si>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</si>
  <si>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</si>
  <si>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</si>
  <si>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</si>
  <si>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</si>
  <si>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</si>
  <si>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</si>
  <si>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</si>
  <si>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</si>
  <si>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</si>
  <si>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</si>
  <si>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</si>
  <si>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</si>
  <si>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</si>
  <si>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</si>
  <si>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</si>
  <si>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</si>
  <si>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</si>
  <si>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</si>
  <si>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</si>
  <si>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</si>
  <si>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</si>
  <si>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</si>
  <si>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</si>
  <si>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t>
  </si>
  <si>
    <t>集落協定名</t>
    <rPh sb="0" eb="2">
      <t>シュウラク</t>
    </rPh>
    <rPh sb="2" eb="4">
      <t>キョウテイ</t>
    </rPh>
    <rPh sb="4" eb="5">
      <t>メイ</t>
    </rPh>
    <phoneticPr fontId="3"/>
  </si>
  <si>
    <t>協定所在地</t>
    <rPh sb="0" eb="2">
      <t>キョウテイ</t>
    </rPh>
    <rPh sb="2" eb="5">
      <t>ショザイチ</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</si>
  <si>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</si>
  <si>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</si>
  <si>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</si>
  <si>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</si>
  <si>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</si>
  <si>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 ○○</t>
    <phoneticPr fontId="3"/>
  </si>
  <si>
    <t>○○県○○市○○</t>
    <rPh sb="2" eb="3">
      <t>ケン</t>
    </rPh>
    <rPh sb="5" eb="6">
      <t>シ</t>
    </rPh>
    <phoneticPr fontId="3"/>
  </si>
  <si>
    <t>A</t>
  </si>
  <si>
    <t>カ</t>
  </si>
  <si>
    <t>−</t>
  </si>
  <si>
    <t>C</t>
  </si>
  <si>
    <t>B</t>
  </si>
  <si>
    <t>E</t>
  </si>
  <si>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</si>
  <si>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</si>
  <si>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</si>
  <si>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t>
    <phoneticPr fontId="3"/>
  </si>
  <si>
    <t>農事組合法人 ○○営農</t>
    <rPh sb="0" eb="2">
      <t>ノウジ</t>
    </rPh>
    <rPh sb="2" eb="4">
      <t>クミアイ</t>
    </rPh>
    <rPh sb="4" eb="6">
      <t>ホウジン</t>
    </rPh>
    <rPh sb="9" eb="11">
      <t>エイノウ</t>
    </rPh>
    <phoneticPr fontId="3"/>
  </si>
  <si>
    <t>ア</t>
  </si>
  <si>
    <t>NPO法人 ○○○○</t>
    <rPh sb="3" eb="5">
      <t>ホウジン</t>
    </rPh>
    <phoneticPr fontId="3"/>
  </si>
  <si>
    <t>キ</t>
  </si>
  <si>
    <t>ウ</t>
  </si>
  <si>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</si>
  <si>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</si>
  <si>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</si>
  <si>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</si>
  <si>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</si>
  <si>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</si>
  <si>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</si>
  <si>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</si>
  <si>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</si>
  <si>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</si>
  <si>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</si>
  <si>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</si>
  <si>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</si>
  <si>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</si>
  <si>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</si>
  <si>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</si>
  <si>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</si>
  <si>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</si>
  <si>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</si>
  <si>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</si>
  <si>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</si>
  <si>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</si>
  <si>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</si>
  <si>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</si>
  <si>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</si>
  <si>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○○集落</t>
    <rPh sb="2" eb="4">
      <t>シュウラク</t>
    </rPh>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</si>
  <si>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</si>
  <si>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</si>
  <si>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</si>
  <si>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</si>
  <si>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</si>
  <si>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</si>
  <si>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</si>
  <si>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</si>
  <si>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</si>
  <si>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</si>
  <si>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</si>
  <si>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</si>
  <si>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</si>
  <si>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</si>
  <si>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</si>
  <si>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</si>
  <si>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</si>
  <si>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</si>
  <si>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</si>
  <si>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</si>
  <si>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</si>
  <si>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</si>
  <si>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</si>
  <si>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</si>
  <si>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</si>
  <si>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</si>
  <si>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</si>
  <si>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</si>
  <si>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</si>
  <si>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</si>
  <si>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</si>
  <si>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</si>
  <si>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</si>
  <si>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</si>
  <si>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</si>
  <si>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</si>
  <si>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</si>
  <si>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</si>
  <si>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</si>
  <si>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</si>
  <si>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</si>
  <si>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</si>
  <si>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</si>
  <si>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</si>
  <si>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</si>
  <si>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</si>
  <si>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</si>
  <si>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</si>
  <si>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</si>
  <si>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</si>
  <si>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</si>
  <si>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</si>
  <si>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</si>
  <si>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</si>
  <si>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</si>
  <si>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</si>
  <si>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</si>
  <si>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</si>
  <si>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</si>
  <si>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</si>
  <si>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</si>
  <si>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</si>
  <si>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</si>
  <si>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超急傾斜農地
○○団地
対象農用地面積：
●●●㎡ 
（田●●㎡,畑●●㎡）</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</si>
  <si>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</si>
  <si>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</si>
  <si>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</si>
  <si>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</si>
  <si>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</si>
  <si>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</si>
  <si>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</si>
  <si>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イ</t>
  </si>
  <si>
    <t>集落全体</t>
    <rPh sb="0" eb="2">
      <t>シュウラク</t>
    </rPh>
    <rPh sb="2" eb="4">
      <t>ゼンタイ</t>
    </rPh>
    <phoneticPr fontId="3"/>
  </si>
  <si>
    <t>○○地区</t>
    <rPh sb="2" eb="4">
      <t>チク</t>
    </rPh>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</si>
  <si>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</si>
  <si>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</si>
  <si>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</si>
  <si>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</si>
  <si>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</si>
  <si>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</si>
  <si>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</si>
  <si>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</si>
  <si>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</si>
  <si>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</si>
  <si>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</si>
  <si>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小区画・不整形</t>
    <phoneticPr fontId="3"/>
  </si>
  <si>
    <t>協定農用地の概要</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</si>
  <si>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</si>
  <si>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</si>
  <si>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</si>
  <si>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○○町○○番の１</t>
    <rPh sb="2" eb="3">
      <t>マチ</t>
    </rPh>
    <rPh sb="5" eb="6">
      <t>バン</t>
    </rPh>
    <phoneticPr fontId="3"/>
  </si>
  <si>
    <t>農林太郎</t>
    <rPh sb="0" eb="2">
      <t>ノウリン</t>
    </rPh>
    <rPh sb="2" eb="4">
      <t>タロウ</t>
    </rPh>
    <phoneticPr fontId="3"/>
  </si>
  <si>
    <t>○○の実施に当たって集落全体の企画・立案・取りまとめを行う</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</si>
  <si>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</si>
  <si>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</si>
  <si>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</si>
  <si>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</si>
  <si>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</si>
  <si>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</si>
  <si>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</si>
  <si>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</si>
  <si>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</si>
  <si>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</si>
  <si>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</si>
  <si>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</si>
  <si>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</si>
  <si>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</si>
  <si>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</si>
  <si>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</si>
  <si>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</si>
  <si>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</si>
  <si>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</si>
  <si>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</si>
  <si>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</si>
  <si>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</si>
  <si>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</si>
  <si>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</si>
  <si>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</si>
  <si>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</si>
  <si>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</si>
  <si>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</si>
  <si>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</si>
  <si>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</si>
  <si>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</si>
  <si>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</si>
  <si>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</si>
  <si>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</si>
  <si>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</si>
  <si>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</si>
  <si>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</si>
  <si>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</si>
  <si>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</si>
  <si>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</si>
  <si>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</si>
  <si>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</si>
  <si>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○○町○○番の２</t>
    <rPh sb="2" eb="3">
      <t>マチ</t>
    </rPh>
    <rPh sb="5" eb="6">
      <t>バン</t>
    </rPh>
    <phoneticPr fontId="3"/>
  </si>
  <si>
    <t>○○町○○番の３</t>
    <rPh sb="2" eb="3">
      <t>マチ</t>
    </rPh>
    <rPh sb="5" eb="6">
      <t>バン</t>
    </rPh>
    <phoneticPr fontId="3"/>
  </si>
  <si>
    <t>○○町○○番の４</t>
    <rPh sb="2" eb="3">
      <t>マチ</t>
    </rPh>
    <rPh sb="5" eb="6">
      <t>バン</t>
    </rPh>
    <phoneticPr fontId="3"/>
  </si>
  <si>
    <t>○○町○○番の５</t>
    <rPh sb="2" eb="3">
      <t>マチ</t>
    </rPh>
    <rPh sb="5" eb="6">
      <t>バン</t>
    </rPh>
    <phoneticPr fontId="3"/>
  </si>
  <si>
    <t>○○町○○番の６</t>
    <rPh sb="2" eb="3">
      <t>マチ</t>
    </rPh>
    <rPh sb="5" eb="6">
      <t>バン</t>
    </rPh>
    <phoneticPr fontId="3"/>
  </si>
  <si>
    <t>○○町○○番の７</t>
    <rPh sb="2" eb="3">
      <t>マチ</t>
    </rPh>
    <rPh sb="5" eb="6">
      <t>バン</t>
    </rPh>
    <phoneticPr fontId="3"/>
  </si>
  <si>
    <t>○○町○○番の８</t>
    <rPh sb="2" eb="3">
      <t>マチ</t>
    </rPh>
    <rPh sb="5" eb="6">
      <t>バン</t>
    </rPh>
    <phoneticPr fontId="3"/>
  </si>
  <si>
    <t>農用地の現況及び活動内容</t>
    <phoneticPr fontId="3"/>
  </si>
  <si>
    <t>土地改良通年施行</t>
    <phoneticPr fontId="3"/>
  </si>
  <si>
    <t>F</t>
  </si>
  <si>
    <t>G</t>
  </si>
  <si>
    <t>H</t>
  </si>
  <si>
    <t>I</t>
  </si>
  <si>
    <t>J</t>
  </si>
  <si>
    <t>○○ ○○土地改良区</t>
    <rPh sb="5" eb="7">
      <t>トチ</t>
    </rPh>
    <rPh sb="7" eb="9">
      <t>カイリョウ</t>
    </rPh>
    <rPh sb="9" eb="10">
      <t>ク</t>
    </rPh>
    <phoneticPr fontId="3"/>
  </si>
  <si>
    <t>K</t>
  </si>
  <si>
    <t>L</t>
  </si>
  <si>
    <t>M</t>
  </si>
  <si>
    <t>エ</t>
  </si>
  <si>
    <t>ケ</t>
  </si>
  <si>
    <t>農事組合法人 ××営農</t>
    <rPh sb="0" eb="2">
      <t>ノウジ</t>
    </rPh>
    <rPh sb="2" eb="4">
      <t>クミアイ</t>
    </rPh>
    <rPh sb="4" eb="6">
      <t>ホウジン</t>
    </rPh>
    <rPh sb="9" eb="11">
      <t>エイノウ</t>
    </rPh>
    <phoneticPr fontId="3"/>
  </si>
  <si>
    <t>○○組合</t>
    <rPh sb="2" eb="4">
      <t>クミアイ</t>
    </rPh>
    <phoneticPr fontId="3"/>
  </si>
  <si>
    <t>××組合</t>
    <rPh sb="2" eb="4">
      <t>クミアイ</t>
    </rPh>
    <phoneticPr fontId="3"/>
  </si>
  <si>
    <t>ア</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</si>
  <si>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</si>
  <si>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</si>
  <si>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○○の実施に当たって○○地区の企画・立案・取りまとめを行う</t>
    <rPh sb="12" eb="14">
      <t>チク</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</si>
  <si>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</si>
  <si>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</si>
  <si>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</si>
  <si>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</si>
  <si>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</si>
  <si>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</si>
  <si>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</si>
  <si>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</si>
  <si>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</si>
  <si>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</si>
  <si>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</si>
  <si>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</si>
  <si>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</si>
  <si>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</si>
  <si>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</si>
  <si>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</si>
  <si>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</si>
  <si>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</si>
  <si>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</si>
  <si>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</si>
  <si>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</si>
  <si>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</si>
  <si>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</si>
  <si>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</si>
  <si>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</si>
  <si>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</si>
  <si>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</si>
  <si>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</si>
  <si>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</si>
  <si>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</si>
  <si>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</si>
  <si>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</si>
  <si>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</si>
  <si>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</si>
  <si>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</si>
  <si>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</si>
  <si>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</si>
  <si>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</si>
  <si>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</si>
  <si>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</si>
  <si>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</si>
  <si>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</si>
  <si>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</si>
  <si>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</si>
  <si>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</si>
  <si>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</si>
  <si>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</si>
  <si>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</si>
  <si>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</si>
  <si>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</si>
  <si>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</si>
  <si>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</si>
  <si>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</si>
  <si>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</si>
  <si>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</si>
  <si>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</si>
  <si>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</si>
  <si>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</si>
  <si>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</si>
  <si>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</si>
  <si>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</si>
  <si>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</si>
  <si>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</si>
  <si>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</si>
  <si>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</si>
  <si>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</si>
  <si>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</si>
  <si>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</si>
  <si>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</si>
  <si>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</si>
  <si>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A1団地</t>
    <rPh sb="2" eb="4">
      <t>ダンチ</t>
    </rPh>
    <phoneticPr fontId="3"/>
  </si>
  <si>
    <t>B6団地</t>
    <rPh sb="2" eb="4">
      <t>ダンチ</t>
    </rPh>
    <phoneticPr fontId="3"/>
  </si>
  <si>
    <t>B7団地</t>
    <rPh sb="2" eb="4">
      <t>ダンチ</t>
    </rPh>
    <phoneticPr fontId="3"/>
  </si>
  <si>
    <t>B8団地</t>
    <rPh sb="2" eb="4">
      <t>ダンチ</t>
    </rPh>
    <phoneticPr fontId="3"/>
  </si>
  <si>
    <t>C1団地</t>
    <rPh sb="2" eb="4">
      <t>ダンチ</t>
    </rPh>
    <phoneticPr fontId="3"/>
  </si>
  <si>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3"/>
  </si>
  <si>
    <t>○○○○他</t>
    <rPh sb="4" eb="5">
      <t>ホカ</t>
    </rPh>
    <phoneticPr fontId="3"/>
  </si>
  <si>
    <t>○○○○</t>
  </si>
  <si>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</si>
  <si>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</si>
  <si>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</si>
  <si>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</si>
  <si>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</si>
  <si>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</si>
  <si>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</si>
  <si>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</si>
  <si>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</si>
  <si>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</si>
  <si>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</si>
  <si>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</si>
  <si>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</si>
  <si>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</si>
  <si>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</si>
  <si>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</si>
  <si>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</si>
  <si>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</si>
  <si>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</si>
  <si>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</si>
  <si>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</si>
  <si>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</si>
  <si>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</si>
  <si>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</si>
  <si>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</si>
  <si>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</si>
  <si>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</si>
  <si>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</si>
  <si>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</si>
  <si>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</si>
  <si>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</si>
  <si>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</si>
  <si>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</si>
  <si>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</si>
  <si>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</si>
  <si>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</si>
  <si>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</si>
  <si>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</si>
  <si>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</si>
  <si>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</si>
  <si>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</si>
  <si>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</si>
  <si>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</si>
  <si>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</si>
  <si>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</si>
  <si>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</si>
  <si>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</si>
  <si>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</si>
  <si>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</si>
  <si>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</si>
  <si>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</si>
  <si>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</si>
  <si>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</si>
  <si>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</si>
  <si>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</si>
  <si>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</si>
  <si>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</si>
  <si>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</si>
  <si>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</si>
  <si>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</si>
  <si>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</si>
  <si>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</si>
  <si>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</si>
  <si>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</si>
  <si>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</si>
  <si>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</si>
  <si>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</si>
  <si>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</si>
  <si>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</si>
  <si>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</si>
  <si>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</si>
  <si>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</si>
  <si>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</si>
  <si>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</si>
  <si>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</si>
  <si>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</si>
  <si>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</si>
  <si>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</si>
  <si>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</si>
  <si>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</si>
  <si>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</si>
  <si>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</si>
  <si>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</si>
  <si>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</si>
  <si>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</si>
  <si>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</si>
  <si>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</si>
  <si>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</si>
  <si>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</si>
  <si>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</si>
  <si>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</si>
  <si>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</si>
  <si>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</si>
  <si>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</si>
  <si>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</si>
  <si>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</si>
  <si>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</si>
  <si>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</si>
  <si>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</si>
  <si>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</si>
  <si>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</si>
  <si>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</si>
  <si>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</si>
  <si>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</si>
  <si>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</si>
  <si>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</si>
  <si>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</si>
  <si>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</si>
  <si>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</si>
  <si>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</si>
  <si>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</si>
  <si>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</si>
  <si>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</si>
  <si>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</si>
  <si>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</si>
  <si>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</si>
  <si>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</si>
  <si>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</si>
  <si>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</si>
  <si>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</si>
  <si>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</si>
  <si>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</si>
  <si>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</si>
  <si>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</si>
  <si>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</si>
  <si>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</si>
  <si>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</si>
  <si>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</si>
  <si>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</si>
  <si>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</si>
  <si>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</si>
  <si>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</si>
  <si>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</si>
  <si>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</si>
  <si>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</si>
  <si>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</si>
  <si>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</si>
  <si>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</si>
  <si>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</si>
  <si>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</si>
  <si>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</si>
  <si>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</si>
  <si>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</si>
  <si>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</si>
  <si>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</si>
  <si>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</si>
  <si>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</si>
  <si>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</si>
  <si>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</si>
  <si>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</si>
  <si>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</si>
  <si>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</si>
  <si>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</si>
  <si>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</si>
  <si>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</si>
  <si>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</si>
  <si>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</si>
  <si>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</si>
  <si>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</si>
  <si>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</si>
  <si>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</si>
  <si>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</si>
  <si>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</si>
  <si>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</si>
  <si>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</si>
  <si>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</si>
  <si>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</si>
  <si>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</si>
  <si>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</si>
  <si>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</si>
  <si>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</si>
  <si>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</si>
  <si>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</si>
  <si>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</si>
  <si>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</si>
  <si>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</si>
  <si>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</si>
  <si>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</si>
  <si>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</si>
  <si>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</si>
  <si>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</si>
  <si>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</si>
  <si>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</si>
  <si>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</si>
  <si>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</si>
  <si>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</si>
  <si>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</si>
  <si>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</si>
  <si>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</si>
  <si>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</si>
  <si>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</si>
  <si>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</si>
  <si>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</si>
  <si>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</si>
  <si>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</si>
  <si>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</si>
  <si>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</si>
  <si>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</si>
  <si>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</si>
  <si>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</si>
  <si>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</si>
  <si>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</si>
  <si>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</si>
  <si>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</si>
  <si>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</si>
  <si>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</si>
  <si>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</si>
  <si>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</si>
  <si>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</si>
  <si>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</si>
  <si>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</si>
  <si>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</si>
  <si>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</si>
  <si>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</si>
  <si>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</si>
  <si>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</si>
  <si>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</si>
  <si>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</si>
  <si>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</si>
  <si>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</si>
  <si>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</si>
  <si>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</si>
  <si>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</si>
  <si>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</si>
  <si>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</si>
  <si>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</si>
  <si>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</si>
  <si>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</si>
  <si>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</si>
  <si>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</si>
  <si>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</si>
  <si>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</si>
  <si>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</si>
  <si>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</si>
  <si>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</si>
  <si>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</si>
  <si>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</si>
  <si>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</si>
  <si>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</si>
  <si>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</si>
  <si>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</si>
  <si>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</si>
  <si>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</si>
  <si>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</si>
  <si>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</si>
  <si>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</si>
  <si>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</si>
  <si>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</si>
  <si>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</si>
  <si>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</si>
  <si>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</si>
  <si>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</si>
  <si>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</si>
  <si>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</si>
  <si>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</si>
  <si>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</si>
  <si>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</si>
  <si>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</si>
  <si>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</si>
  <si>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</si>
  <si>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</si>
  <si>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</si>
  <si>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</si>
  <si>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</si>
  <si>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</si>
  <si>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</si>
  <si>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</si>
  <si>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</si>
  <si>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</si>
  <si>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</si>
  <si>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</si>
  <si>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</si>
  <si>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</si>
  <si>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</si>
  <si>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</si>
  <si>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</si>
  <si>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</si>
  <si>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</si>
  <si>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</si>
  <si>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</si>
  <si>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</si>
  <si>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</si>
  <si>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</si>
  <si>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</si>
  <si>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</si>
  <si>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</si>
  <si>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</si>
  <si>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</si>
  <si>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</si>
  <si>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</si>
  <si>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</si>
  <si>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</si>
  <si>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</si>
  <si>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</si>
  <si>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</si>
  <si>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</si>
  <si>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</si>
  <si>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</si>
  <si>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</si>
  <si>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</si>
  <si>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</si>
  <si>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</si>
  <si>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</si>
  <si>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</si>
  <si>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</si>
  <si>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</si>
  <si>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</si>
  <si>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</si>
  <si>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</si>
  <si>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</si>
  <si>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</si>
  <si>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</si>
  <si>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</si>
  <si>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</si>
  <si>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</si>
  <si>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</si>
  <si>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</si>
  <si>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</si>
  <si>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</si>
  <si>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</si>
  <si>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</si>
  <si>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</si>
  <si>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</si>
  <si>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</si>
  <si>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</si>
  <si>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</si>
  <si>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</si>
  <si>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</si>
  <si>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</si>
  <si>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</si>
  <si>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</si>
  <si>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</si>
  <si>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</si>
  <si>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</si>
  <si>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</si>
  <si>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</si>
  <si>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</si>
  <si>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</si>
  <si>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</si>
  <si>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</si>
  <si>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</si>
  <si>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</si>
  <si>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</si>
  <si>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</si>
  <si>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</si>
  <si>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</si>
  <si>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</si>
  <si>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</si>
  <si>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</si>
  <si>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</si>
  <si>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</si>
  <si>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</si>
  <si>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</si>
  <si>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</si>
  <si>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</si>
  <si>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</si>
  <si>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</si>
  <si>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</si>
  <si>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</si>
  <si>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</si>
  <si>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</si>
  <si>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</si>
  <si>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</si>
  <si>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</si>
  <si>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</si>
  <si>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</si>
  <si>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</si>
  <si>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</si>
  <si>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</si>
  <si>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</si>
  <si>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</si>
  <si>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</si>
  <si>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</si>
  <si>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</si>
  <si>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</si>
  <si>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</si>
  <si>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</si>
  <si>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</si>
  <si>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</si>
  <si>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</si>
  <si>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</si>
  <si>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</si>
  <si>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</si>
  <si>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</si>
  <si>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</si>
  <si>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</si>
  <si>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</si>
  <si>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</si>
  <si>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</si>
  <si>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</si>
  <si>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</si>
  <si>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</si>
  <si>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</si>
  <si>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</si>
  <si>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</si>
  <si>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</si>
  <si>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</si>
  <si>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</si>
  <si>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</si>
  <si>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</si>
  <si>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</si>
  <si>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</si>
  <si>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</si>
  <si>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</si>
  <si>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</si>
  <si>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</si>
  <si>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</si>
  <si>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</si>
  <si>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</si>
  <si>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</si>
  <si>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</si>
  <si>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</si>
  <si>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</si>
  <si>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</si>
  <si>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</si>
  <si>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</si>
  <si>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</si>
  <si>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t>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</si>
  <si>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</si>
  <si>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</si>
  <si>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</si>
  <si>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</si>
  <si>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</si>
  <si>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</si>
  <si>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</si>
  <si>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</si>
  <si>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</si>
  <si>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</si>
  <si>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</si>
  <si>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</si>
  <si>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</si>
  <si>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</si>
  <si>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</si>
  <si>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</si>
  <si>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</si>
  <si>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</si>
  <si>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</si>
  <si>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</si>
  <si>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</si>
  <si>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</si>
  <si>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</si>
  <si>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</si>
  <si>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</si>
  <si>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</si>
  <si>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</si>
  <si>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</si>
  <si>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</si>
  <si>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</si>
  <si>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</si>
  <si>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</si>
  <si>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</si>
  <si>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</si>
  <si>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</si>
  <si>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</si>
  <si>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</si>
  <si>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</si>
  <si>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</si>
  <si>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</si>
  <si>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</si>
  <si>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</si>
  <si>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</si>
  <si>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</si>
  <si>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</si>
  <si>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</si>
  <si>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</si>
  <si>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</si>
  <si>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</si>
  <si>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</si>
  <si>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</si>
  <si>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</si>
  <si>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</si>
  <si>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</si>
  <si>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</si>
  <si>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</si>
  <si>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</si>
  <si>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</si>
  <si>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</si>
  <si>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</si>
  <si>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</si>
  <si>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</si>
  <si>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</si>
  <si>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</si>
  <si>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</si>
  <si>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</si>
  <si>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</si>
  <si>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</si>
  <si>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</si>
  <si>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</si>
  <si>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</si>
  <si>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</si>
  <si>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3"/>
  </si>
  <si>
    <t>③ネットワーク化加算</t>
    <rPh sb="7" eb="8">
      <t>カ</t>
    </rPh>
    <phoneticPr fontId="3"/>
  </si>
  <si>
    <t>④スマート農業加算</t>
    <rPh sb="5" eb="7">
      <t>ノウギョウ</t>
    </rPh>
    <phoneticPr fontId="3"/>
  </si>
  <si>
    <t>⑤集落機能強化加算の経過措置</t>
    <phoneticPr fontId="3"/>
  </si>
  <si>
    <t>例) 高齢化や非農業者との混住化が進むことで、共同取組活動の参加者が減少し、集落機能が低下している。</t>
    <phoneticPr fontId="3"/>
  </si>
  <si>
    <t>例) 協定農用地の担い手の集積面積●●ha（令和６年度末）</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</si>
  <si>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</si>
  <si>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</si>
  <si>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r>
      <t xml:space="preserve">○○用水路
</t>
    </r>
    <r>
      <rPr>
        <sz val="10"/>
        <color rgb="FFFF0000"/>
        <rFont val="ＭＳ 明朝"/>
        <family val="1"/>
        <charset val="128"/>
      </rPr>
      <t>（水路の延長○m)</t>
    </r>
    <rPh sb="2" eb="5">
      <t>ヨウスイロ</t>
    </rPh>
    <phoneticPr fontId="3"/>
  </si>
  <si>
    <r>
      <t xml:space="preserve">○○排水路
</t>
    </r>
    <r>
      <rPr>
        <sz val="10"/>
        <color rgb="FFFF0000"/>
        <rFont val="ＭＳ 明朝"/>
        <family val="1"/>
        <charset val="128"/>
      </rPr>
      <t>（水路の延長○m)</t>
    </r>
    <rPh sb="2" eb="5">
      <t>ハイスイロ</t>
    </rPh>
    <phoneticPr fontId="3"/>
  </si>
  <si>
    <r>
      <t xml:space="preserve">○○農道
</t>
    </r>
    <r>
      <rPr>
        <sz val="10"/>
        <color rgb="FFFF0000"/>
        <rFont val="ＭＳ 明朝"/>
        <family val="1"/>
        <charset val="128"/>
      </rPr>
      <t>（水路の延長○m)</t>
    </r>
    <rPh sb="2" eb="4">
      <t>ノウドウ</t>
    </rPh>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</si>
  <si>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</si>
  <si>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</si>
  <si>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</si>
  <si>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</si>
  <si>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</si>
  <si>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</si>
  <si>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</si>
  <si>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</si>
  <si>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</si>
  <si>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</si>
  <si>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</si>
  <si>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</si>
  <si>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</si>
  <si>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</si>
  <si>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86"/>
  </si>
  <si>
    <t>取組</t>
    <rPh sb="0" eb="2">
      <t>トリクミ</t>
    </rPh>
    <phoneticPr fontId="86"/>
  </si>
  <si>
    <t>対象協定</t>
    <rPh sb="0" eb="4">
      <t>タイショウキョウテイ</t>
    </rPh>
    <phoneticPr fontId="86"/>
  </si>
  <si>
    <t>要記載項目</t>
    <rPh sb="0" eb="3">
      <t>ヨウキサイ</t>
    </rPh>
    <rPh sb="3" eb="5">
      <t>コウモク</t>
    </rPh>
    <phoneticPr fontId="86"/>
  </si>
  <si>
    <r>
      <t>①ネットワーク化</t>
    </r>
    <r>
      <rPr>
        <vertAlign val="superscript"/>
        <sz val="11"/>
        <rFont val="ＭＳ 明朝"/>
        <family val="1"/>
        <charset val="128"/>
      </rPr>
      <t>注２）</t>
    </r>
    <rPh sb="7" eb="8">
      <t>カ</t>
    </rPh>
    <rPh sb="8" eb="9">
      <t>チュウ</t>
    </rPh>
    <phoneticPr fontId="86"/>
  </si>
  <si>
    <t>新たにネットワーク化を行い10ha以上のネットワークを形成する集落協定</t>
    <phoneticPr fontId="86"/>
  </si>
  <si>
    <t>２－１～２－７</t>
    <phoneticPr fontId="86"/>
  </si>
  <si>
    <t>新たにネットワーク化を行う予定はないが、既に10ha以上のネットワークを形成しており、体制の維持、向上を図ろうとする集落協定</t>
    <phoneticPr fontId="86"/>
  </si>
  <si>
    <r>
      <t>②統合</t>
    </r>
    <r>
      <rPr>
        <vertAlign val="superscript"/>
        <sz val="11"/>
        <rFont val="ＭＳ 明朝"/>
        <family val="1"/>
        <charset val="128"/>
      </rPr>
      <t>注３）</t>
    </r>
    <rPh sb="1" eb="3">
      <t>トウゴウ</t>
    </rPh>
    <rPh sb="3" eb="4">
      <t>チュウ</t>
    </rPh>
    <phoneticPr fontId="86"/>
  </si>
  <si>
    <t>新たに統合を行い10ha以上の集落協定を形成する集落協定</t>
    <phoneticPr fontId="86"/>
  </si>
  <si>
    <t>３－１～３－５</t>
    <phoneticPr fontId="86"/>
  </si>
  <si>
    <t>新たに統合を行う予定はないが、既に10ha以上の集落協定となっており、体制の維持、向上を図ろうとする集落協定</t>
    <phoneticPr fontId="86"/>
  </si>
  <si>
    <t>３－２、
３－６、３－７</t>
    <phoneticPr fontId="86"/>
  </si>
  <si>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86"/>
  </si>
  <si>
    <t>１組織以上の農業者団体以外の組織又は構成員の10%以上の非農業者が活動に参画する集落協定</t>
    <phoneticPr fontId="86"/>
  </si>
  <si>
    <t>４－１～４－３</t>
    <phoneticPr fontId="86"/>
  </si>
  <si>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</si>
  <si>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</si>
  <si>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</si>
  <si>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86"/>
  </si>
  <si>
    <t>令和８年６月</t>
    <rPh sb="0" eb="2">
      <t>レイワ</t>
    </rPh>
    <rPh sb="3" eb="4">
      <t>ネン</t>
    </rPh>
    <rPh sb="5" eb="6">
      <t>ガツ</t>
    </rPh>
    <phoneticPr fontId="3"/>
  </si>
  <si>
    <t>第１回変更</t>
    <rPh sb="0" eb="1">
      <t>ダイ</t>
    </rPh>
    <rPh sb="2" eb="3">
      <t>カイ</t>
    </rPh>
    <rPh sb="3" eb="5">
      <t>ヘンコウ</t>
    </rPh>
    <phoneticPr fontId="86"/>
  </si>
  <si>
    <t>第２回変更</t>
    <rPh sb="0" eb="1">
      <t>ダイ</t>
    </rPh>
    <rPh sb="2" eb="3">
      <t>カイ</t>
    </rPh>
    <rPh sb="3" eb="5">
      <t>ヘンコウ</t>
    </rPh>
    <phoneticPr fontId="86"/>
  </si>
  <si>
    <t>第３回変更</t>
    <rPh sb="0" eb="1">
      <t>ダイ</t>
    </rPh>
    <rPh sb="2" eb="3">
      <t>カイ</t>
    </rPh>
    <rPh sb="3" eb="5">
      <t>ヘンコウ</t>
    </rPh>
    <phoneticPr fontId="86"/>
  </si>
  <si>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</si>
  <si>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</si>
  <si>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</si>
  <si>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農林地域集落協定ネットワーク協議会</t>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</si>
  <si>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</si>
  <si>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86"/>
  </si>
  <si>
    <t>協定面積</t>
    <rPh sb="0" eb="4">
      <t>キョウテイメンセキ</t>
    </rPh>
    <phoneticPr fontId="86"/>
  </si>
  <si>
    <t>地域計画</t>
    <rPh sb="0" eb="4">
      <t>チイキケイカク</t>
    </rPh>
    <phoneticPr fontId="86"/>
  </si>
  <si>
    <t>現在の連携状況</t>
    <rPh sb="0" eb="2">
      <t>ゲンザイ</t>
    </rPh>
    <rPh sb="3" eb="7">
      <t>レンケイジョウキョウ</t>
    </rPh>
    <phoneticPr fontId="86"/>
  </si>
  <si>
    <t>自協定が存する計画区域内</t>
    <rPh sb="0" eb="3">
      <t>ジキョウテイ</t>
    </rPh>
    <rPh sb="4" eb="5">
      <t>ゾン</t>
    </rPh>
    <rPh sb="7" eb="12">
      <t>ケイカククイキナイ</t>
    </rPh>
    <phoneticPr fontId="86"/>
  </si>
  <si>
    <t>別の計画区域内</t>
    <rPh sb="0" eb="1">
      <t>ベツ</t>
    </rPh>
    <rPh sb="2" eb="7">
      <t>ケイカククイキナイ</t>
    </rPh>
    <phoneticPr fontId="86"/>
  </si>
  <si>
    <t>連携済</t>
    <rPh sb="0" eb="3">
      <t>レンケイズ</t>
    </rPh>
    <phoneticPr fontId="86"/>
  </si>
  <si>
    <t>今後連携</t>
    <rPh sb="0" eb="4">
      <t>コンゴレンケイ</t>
    </rPh>
    <phoneticPr fontId="86"/>
  </si>
  <si>
    <t>（自協定）</t>
  </si>
  <si>
    <t>Ｂ協定</t>
    <rPh sb="1" eb="3">
      <t>キョウテイ</t>
    </rPh>
    <phoneticPr fontId="3"/>
  </si>
  <si>
    <t>Ｃ協定</t>
    <rPh sb="1" eb="3">
      <t>キョウテイ</t>
    </rPh>
    <phoneticPr fontId="3"/>
  </si>
  <si>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</si>
  <si>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</si>
  <si>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</si>
  <si>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86"/>
  </si>
  <si>
    <t>①リーダーの人材不足</t>
    <rPh sb="6" eb="10">
      <t>ジンザイブソク</t>
    </rPh>
    <phoneticPr fontId="86"/>
  </si>
  <si>
    <t>⑤農作業機械や施設の不足</t>
    <rPh sb="1" eb="6">
      <t>ノウサギョウキカイ</t>
    </rPh>
    <rPh sb="7" eb="9">
      <t>シセツ</t>
    </rPh>
    <rPh sb="10" eb="12">
      <t>フソク</t>
    </rPh>
    <phoneticPr fontId="86"/>
  </si>
  <si>
    <t>②事務担当者の人材不足</t>
    <rPh sb="1" eb="6">
      <t>ジムタントウシャ</t>
    </rPh>
    <rPh sb="7" eb="11">
      <t>ジンザイブソク</t>
    </rPh>
    <phoneticPr fontId="86"/>
  </si>
  <si>
    <t>⑥知見や技術の不足</t>
    <rPh sb="1" eb="3">
      <t>チケン</t>
    </rPh>
    <rPh sb="4" eb="6">
      <t>ギジュツ</t>
    </rPh>
    <rPh sb="7" eb="9">
      <t>フソク</t>
    </rPh>
    <phoneticPr fontId="86"/>
  </si>
  <si>
    <t>③共同取組活動参加者の附則</t>
    <rPh sb="1" eb="3">
      <t>キョウドウ</t>
    </rPh>
    <rPh sb="3" eb="7">
      <t>トリクミカツドウ</t>
    </rPh>
    <rPh sb="7" eb="10">
      <t>サンカシャ</t>
    </rPh>
    <rPh sb="11" eb="13">
      <t>フソク</t>
    </rPh>
    <phoneticPr fontId="86"/>
  </si>
  <si>
    <t>④農業の担い手の人材不足</t>
    <rPh sb="1" eb="3">
      <t>ノウギョウ</t>
    </rPh>
    <rPh sb="4" eb="5">
      <t>ニナ</t>
    </rPh>
    <rPh sb="6" eb="7">
      <t>テ</t>
    </rPh>
    <rPh sb="8" eb="12">
      <t>ジンザイブソク</t>
    </rPh>
    <phoneticPr fontId="86"/>
  </si>
  <si>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86"/>
  </si>
  <si>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</si>
  <si>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</si>
  <si>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86"/>
  </si>
  <si>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86"/>
  </si>
  <si>
    <t>⑥農業の担い手育成</t>
    <rPh sb="1" eb="3">
      <t>ノウギョウ</t>
    </rPh>
    <rPh sb="4" eb="5">
      <t>ニナ</t>
    </rPh>
    <rPh sb="6" eb="7">
      <t>テ</t>
    </rPh>
    <rPh sb="7" eb="9">
      <t>イクセイ</t>
    </rPh>
    <phoneticPr fontId="86"/>
  </si>
  <si>
    <t>⑦地場農産物の加工・販売</t>
    <rPh sb="1" eb="3">
      <t>ジバ</t>
    </rPh>
    <rPh sb="3" eb="6">
      <t>ノウサンブツ</t>
    </rPh>
    <rPh sb="7" eb="9">
      <t>カコウ</t>
    </rPh>
    <rPh sb="10" eb="12">
      <t>ハンバイ</t>
    </rPh>
    <phoneticPr fontId="86"/>
  </si>
  <si>
    <t>②農地保全（草刈り、荒廃防止活動等）</t>
    <rPh sb="1" eb="3">
      <t>ノウチ</t>
    </rPh>
    <rPh sb="3" eb="5">
      <t>ホゼン</t>
    </rPh>
    <rPh sb="6" eb="8">
      <t>クサカ</t>
    </rPh>
    <rPh sb="10" eb="12">
      <t>コウハイ</t>
    </rPh>
    <rPh sb="12" eb="14">
      <t>ボウシ</t>
    </rPh>
    <rPh sb="14" eb="16">
      <t>カツドウ</t>
    </rPh>
    <rPh sb="16" eb="17">
      <t>トウ</t>
    </rPh>
    <phoneticPr fontId="86"/>
  </si>
  <si>
    <t>⑧鳥獣害対策</t>
    <rPh sb="1" eb="6">
      <t>チョウジュウガイタイサク</t>
    </rPh>
    <phoneticPr fontId="86"/>
  </si>
  <si>
    <t>③水路・農道等の維持管理</t>
    <rPh sb="1" eb="3">
      <t>スイロ</t>
    </rPh>
    <rPh sb="4" eb="6">
      <t>ノウドウ</t>
    </rPh>
    <rPh sb="6" eb="7">
      <t>トウ</t>
    </rPh>
    <rPh sb="8" eb="10">
      <t>イジ</t>
    </rPh>
    <rPh sb="10" eb="12">
      <t>カンリ</t>
    </rPh>
    <phoneticPr fontId="86"/>
  </si>
  <si>
    <t>⑨多面的機能を増進する活動</t>
    <rPh sb="1" eb="6">
      <t>タメンテキキノウ</t>
    </rPh>
    <rPh sb="7" eb="9">
      <t>ゾウシン</t>
    </rPh>
    <rPh sb="11" eb="13">
      <t>カツドウ</t>
    </rPh>
    <phoneticPr fontId="86"/>
  </si>
  <si>
    <t>④機械・施設の共同利用</t>
    <rPh sb="1" eb="3">
      <t>キカイ</t>
    </rPh>
    <rPh sb="4" eb="6">
      <t>シセツ</t>
    </rPh>
    <rPh sb="7" eb="9">
      <t>キョウドウ</t>
    </rPh>
    <rPh sb="9" eb="11">
      <t>リヨウ</t>
    </rPh>
    <phoneticPr fontId="86"/>
  </si>
  <si>
    <t>⑤農作業の共同化</t>
    <rPh sb="1" eb="4">
      <t>ノウサギョウ</t>
    </rPh>
    <rPh sb="5" eb="8">
      <t>キョウドウカ</t>
    </rPh>
    <phoneticPr fontId="86"/>
  </si>
  <si>
    <t>２－５．連携方法</t>
    <rPh sb="4" eb="8">
      <t>レンケイホウホウ</t>
    </rPh>
    <phoneticPr fontId="3"/>
  </si>
  <si>
    <t>連携方法</t>
    <rPh sb="0" eb="4">
      <t>レンケイホウホウ</t>
    </rPh>
    <phoneticPr fontId="86"/>
  </si>
  <si>
    <r>
      <t>①協議会型</t>
    </r>
    <r>
      <rPr>
        <vertAlign val="superscript"/>
        <sz val="11"/>
        <rFont val="ＭＳ 明朝"/>
        <family val="1"/>
        <charset val="128"/>
      </rPr>
      <t>注１）</t>
    </r>
    <rPh sb="1" eb="4">
      <t>キョウギカイ</t>
    </rPh>
    <rPh sb="4" eb="5">
      <t>ガタ</t>
    </rPh>
    <rPh sb="5" eb="6">
      <t>チュウ</t>
    </rPh>
    <phoneticPr fontId="86"/>
  </si>
  <si>
    <r>
      <t>③共同委託型</t>
    </r>
    <r>
      <rPr>
        <vertAlign val="superscript"/>
        <sz val="11"/>
        <rFont val="ＭＳ 明朝"/>
        <family val="1"/>
        <charset val="128"/>
      </rPr>
      <t>注３）</t>
    </r>
    <rPh sb="1" eb="5">
      <t>キョウドウイタク</t>
    </rPh>
    <rPh sb="5" eb="6">
      <t>ガタ</t>
    </rPh>
    <rPh sb="6" eb="7">
      <t>チュウ</t>
    </rPh>
    <phoneticPr fontId="86"/>
  </si>
  <si>
    <r>
      <t>②活動連携型</t>
    </r>
    <r>
      <rPr>
        <vertAlign val="superscript"/>
        <sz val="11"/>
        <rFont val="ＭＳ 明朝"/>
        <family val="1"/>
        <charset val="128"/>
      </rPr>
      <t>注２）</t>
    </r>
    <rPh sb="1" eb="3">
      <t>カツドウ</t>
    </rPh>
    <rPh sb="3" eb="5">
      <t>レンケイ</t>
    </rPh>
    <rPh sb="5" eb="6">
      <t>ガタ</t>
    </rPh>
    <rPh sb="6" eb="7">
      <t>チュウ</t>
    </rPh>
    <phoneticPr fontId="86"/>
  </si>
  <si>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</si>
  <si>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</si>
  <si>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86"/>
  </si>
  <si>
    <t>R6以前</t>
    <rPh sb="2" eb="4">
      <t>イゼン</t>
    </rPh>
    <phoneticPr fontId="86"/>
  </si>
  <si>
    <t>R7</t>
    <phoneticPr fontId="86"/>
  </si>
  <si>
    <t>R8</t>
    <phoneticPr fontId="86"/>
  </si>
  <si>
    <t>R9</t>
    <phoneticPr fontId="86"/>
  </si>
  <si>
    <t>R10</t>
    <phoneticPr fontId="86"/>
  </si>
  <si>
    <t>R11</t>
    <phoneticPr fontId="86"/>
  </si>
  <si>
    <t>R12以降</t>
    <rPh sb="3" eb="5">
      <t>イコウ</t>
    </rPh>
    <phoneticPr fontId="86"/>
  </si>
  <si>
    <t>ネットワーク化に向けた話合い（協定内）</t>
    <rPh sb="6" eb="7">
      <t>カ</t>
    </rPh>
    <rPh sb="8" eb="9">
      <t>ム</t>
    </rPh>
    <rPh sb="11" eb="13">
      <t>ハナシア</t>
    </rPh>
    <rPh sb="15" eb="18">
      <t>キョウテイナイ</t>
    </rPh>
    <phoneticPr fontId="86"/>
  </si>
  <si>
    <t>ネットワーク化に向けた話合い（協定間）</t>
    <rPh sb="6" eb="7">
      <t>カ</t>
    </rPh>
    <rPh sb="8" eb="9">
      <t>ム</t>
    </rPh>
    <rPh sb="11" eb="13">
      <t>ハナシア</t>
    </rPh>
    <rPh sb="15" eb="17">
      <t>キョウテイ</t>
    </rPh>
    <rPh sb="17" eb="18">
      <t>アイダ</t>
    </rPh>
    <phoneticPr fontId="86"/>
  </si>
  <si>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86"/>
  </si>
  <si>
    <t>協議会等の設置（協議会型の場合）</t>
    <rPh sb="0" eb="3">
      <t>キョウギカイ</t>
    </rPh>
    <rPh sb="3" eb="4">
      <t>トウ</t>
    </rPh>
    <rPh sb="5" eb="7">
      <t>セッチ</t>
    </rPh>
    <rPh sb="8" eb="12">
      <t>キョウギカイガタ</t>
    </rPh>
    <rPh sb="13" eb="15">
      <t>バアイ</t>
    </rPh>
    <phoneticPr fontId="86"/>
  </si>
  <si>
    <t>ネットワーク化加算の適用（加算措置を利用する場合）</t>
    <rPh sb="6" eb="7">
      <t>カ</t>
    </rPh>
    <rPh sb="7" eb="9">
      <t>カサン</t>
    </rPh>
    <rPh sb="10" eb="12">
      <t>テキヨウ</t>
    </rPh>
    <rPh sb="13" eb="17">
      <t>カサンソチ</t>
    </rPh>
    <rPh sb="18" eb="20">
      <t>リヨウ</t>
    </rPh>
    <rPh sb="22" eb="24">
      <t>バアイ</t>
    </rPh>
    <phoneticPr fontId="86"/>
  </si>
  <si>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86"/>
  </si>
  <si>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</si>
  <si>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86"/>
  </si>
  <si>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86"/>
  </si>
  <si>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86"/>
  </si>
  <si>
    <t>③時期は未定だが将来的に統合を検討する</t>
    <rPh sb="1" eb="3">
      <t>ジキ</t>
    </rPh>
    <rPh sb="4" eb="6">
      <t>ミテイ</t>
    </rPh>
    <rPh sb="8" eb="11">
      <t>ショウライテキ</t>
    </rPh>
    <rPh sb="12" eb="14">
      <t>トウゴウ</t>
    </rPh>
    <rPh sb="15" eb="17">
      <t>ケントウ</t>
    </rPh>
    <phoneticPr fontId="86"/>
  </si>
  <si>
    <t>④未定</t>
    <rPh sb="1" eb="3">
      <t>ミテイ</t>
    </rPh>
    <phoneticPr fontId="86"/>
  </si>
  <si>
    <t>⑤統合は必要ないと考えている</t>
    <rPh sb="1" eb="3">
      <t>トウゴウ</t>
    </rPh>
    <rPh sb="4" eb="6">
      <t>ヒツヨウ</t>
    </rPh>
    <rPh sb="9" eb="10">
      <t>カンガ</t>
    </rPh>
    <phoneticPr fontId="86"/>
  </si>
  <si>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</si>
  <si>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</si>
  <si>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</si>
  <si>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農林地域広域集落協定</t>
    <phoneticPr fontId="3"/>
  </si>
  <si>
    <t>３－２．統合に参加する集落協定</t>
    <rPh sb="4" eb="6">
      <t>トウゴウ</t>
    </rPh>
    <rPh sb="7" eb="9">
      <t>サンカ</t>
    </rPh>
    <rPh sb="11" eb="15">
      <t>シュウラクキョウテイ</t>
    </rPh>
    <phoneticPr fontId="3"/>
  </si>
  <si>
    <t>Ｅ協定</t>
    <rPh sb="1" eb="3">
      <t>キョウテイ</t>
    </rPh>
    <phoneticPr fontId="3"/>
  </si>
  <si>
    <t>Ｆ協定</t>
    <rPh sb="1" eb="3">
      <t>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</si>
  <si>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</si>
  <si>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</si>
  <si>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86"/>
  </si>
  <si>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86"/>
  </si>
  <si>
    <t>３－４．統合により体制を強化したい活動</t>
    <rPh sb="4" eb="6">
      <t>トウゴウ</t>
    </rPh>
    <rPh sb="9" eb="11">
      <t>タイセイ</t>
    </rPh>
    <rPh sb="12" eb="14">
      <t>キョウカ</t>
    </rPh>
    <rPh sb="17" eb="19">
      <t>カツドウ</t>
    </rPh>
    <phoneticPr fontId="3"/>
  </si>
  <si>
    <t>体制を強化したい活動</t>
    <phoneticPr fontId="86"/>
  </si>
  <si>
    <t>①リーダー等の人材確保</t>
    <rPh sb="5" eb="6">
      <t>トウ</t>
    </rPh>
    <rPh sb="7" eb="9">
      <t>ジンザイ</t>
    </rPh>
    <rPh sb="9" eb="11">
      <t>カクホ</t>
    </rPh>
    <phoneticPr fontId="86"/>
  </si>
  <si>
    <t>⑦農業の担い手育成</t>
    <rPh sb="1" eb="3">
      <t>ノウギョウ</t>
    </rPh>
    <rPh sb="4" eb="5">
      <t>ニナ</t>
    </rPh>
    <rPh sb="6" eb="7">
      <t>テ</t>
    </rPh>
    <rPh sb="7" eb="9">
      <t>イクセイ</t>
    </rPh>
    <phoneticPr fontId="86"/>
  </si>
  <si>
    <t>②事務局機能の強化</t>
    <rPh sb="1" eb="4">
      <t>ジムキョク</t>
    </rPh>
    <rPh sb="4" eb="6">
      <t>キノウ</t>
    </rPh>
    <rPh sb="7" eb="9">
      <t>キョウカ</t>
    </rPh>
    <phoneticPr fontId="86"/>
  </si>
  <si>
    <t>⑧地場農産物の加工・販売</t>
    <rPh sb="1" eb="3">
      <t>ジバ</t>
    </rPh>
    <rPh sb="3" eb="6">
      <t>ノウサンブツ</t>
    </rPh>
    <rPh sb="7" eb="9">
      <t>カコウ</t>
    </rPh>
    <rPh sb="10" eb="12">
      <t>ハンバイ</t>
    </rPh>
    <phoneticPr fontId="86"/>
  </si>
  <si>
    <t>③農地保全（草刈り、荒廃防止活動等）</t>
    <rPh sb="1" eb="3">
      <t>ノウチ</t>
    </rPh>
    <rPh sb="3" eb="5">
      <t>ホゼン</t>
    </rPh>
    <rPh sb="6" eb="8">
      <t>クサカ</t>
    </rPh>
    <rPh sb="10" eb="12">
      <t>コウハイ</t>
    </rPh>
    <rPh sb="12" eb="14">
      <t>ボウシ</t>
    </rPh>
    <rPh sb="14" eb="16">
      <t>カツドウ</t>
    </rPh>
    <rPh sb="16" eb="17">
      <t>トウ</t>
    </rPh>
    <phoneticPr fontId="86"/>
  </si>
  <si>
    <t>⑨鳥獣害対策</t>
    <rPh sb="1" eb="6">
      <t>チョウジュウガイタイサク</t>
    </rPh>
    <phoneticPr fontId="86"/>
  </si>
  <si>
    <t>④水路・農道等の維持管理</t>
    <rPh sb="1" eb="3">
      <t>スイロ</t>
    </rPh>
    <rPh sb="4" eb="6">
      <t>ノウドウ</t>
    </rPh>
    <rPh sb="6" eb="7">
      <t>トウ</t>
    </rPh>
    <rPh sb="8" eb="10">
      <t>イジ</t>
    </rPh>
    <rPh sb="10" eb="12">
      <t>カンリ</t>
    </rPh>
    <phoneticPr fontId="86"/>
  </si>
  <si>
    <t>⑩多面的機能を増進する活動</t>
    <rPh sb="1" eb="6">
      <t>タメンテキキノウ</t>
    </rPh>
    <rPh sb="7" eb="9">
      <t>ゾウシン</t>
    </rPh>
    <rPh sb="11" eb="13">
      <t>カツドウ</t>
    </rPh>
    <phoneticPr fontId="86"/>
  </si>
  <si>
    <t>⑤機械・施設の共同利用</t>
    <rPh sb="1" eb="3">
      <t>キカイ</t>
    </rPh>
    <rPh sb="4" eb="6">
      <t>シセツ</t>
    </rPh>
    <rPh sb="7" eb="9">
      <t>キョウドウ</t>
    </rPh>
    <rPh sb="9" eb="11">
      <t>リヨウ</t>
    </rPh>
    <phoneticPr fontId="86"/>
  </si>
  <si>
    <t>⑥農作業の共同化</t>
    <rPh sb="1" eb="4">
      <t>ノウサギョウ</t>
    </rPh>
    <rPh sb="5" eb="8">
      <t>キョウドウカ</t>
    </rPh>
    <phoneticPr fontId="86"/>
  </si>
  <si>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</si>
  <si>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86"/>
  </si>
  <si>
    <t>②統合に向けた話合い（協定間）</t>
    <rPh sb="1" eb="3">
      <t>トウゴウ</t>
    </rPh>
    <rPh sb="4" eb="5">
      <t>ム</t>
    </rPh>
    <rPh sb="7" eb="9">
      <t>ハナシア</t>
    </rPh>
    <rPh sb="11" eb="13">
      <t>キョウテイ</t>
    </rPh>
    <rPh sb="13" eb="14">
      <t>アイダ</t>
    </rPh>
    <phoneticPr fontId="86"/>
  </si>
  <si>
    <t>③統合</t>
    <rPh sb="1" eb="3">
      <t>トウゴウ</t>
    </rPh>
    <phoneticPr fontId="86"/>
  </si>
  <si>
    <t>④ネットワーク化加算の適用（加算措置を利用する場合）</t>
    <rPh sb="7" eb="8">
      <t>カ</t>
    </rPh>
    <rPh sb="8" eb="10">
      <t>カサン</t>
    </rPh>
    <rPh sb="11" eb="13">
      <t>テキヨウ</t>
    </rPh>
    <rPh sb="14" eb="18">
      <t>カサンソチ</t>
    </rPh>
    <rPh sb="19" eb="21">
      <t>リヨウ</t>
    </rPh>
    <rPh sb="23" eb="25">
      <t>バアイ</t>
    </rPh>
    <phoneticPr fontId="86"/>
  </si>
  <si>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86"/>
  </si>
  <si>
    <t>３－６．役員の継承計画</t>
    <rPh sb="4" eb="6">
      <t>ヤクイン</t>
    </rPh>
    <rPh sb="7" eb="11">
      <t>ケイショウケイカク</t>
    </rPh>
    <phoneticPr fontId="3"/>
  </si>
  <si>
    <t>役職名等</t>
    <rPh sb="0" eb="3">
      <t>ヤクショクメイ</t>
    </rPh>
    <rPh sb="3" eb="4">
      <t>トウ</t>
    </rPh>
    <phoneticPr fontId="86"/>
  </si>
  <si>
    <t>氏名（現体制）</t>
    <rPh sb="0" eb="2">
      <t>シメイ</t>
    </rPh>
    <rPh sb="3" eb="6">
      <t>ゲンタイセイ</t>
    </rPh>
    <phoneticPr fontId="86"/>
  </si>
  <si>
    <t>氏名（後任予定者）</t>
    <rPh sb="0" eb="2">
      <t>シメイ</t>
    </rPh>
    <rPh sb="3" eb="8">
      <t>コウニンヨテイシャ</t>
    </rPh>
    <phoneticPr fontId="86"/>
  </si>
  <si>
    <t>継承予定時期</t>
    <rPh sb="0" eb="4">
      <t>ケイショウヨテイ</t>
    </rPh>
    <rPh sb="4" eb="6">
      <t>ジキ</t>
    </rPh>
    <phoneticPr fontId="86"/>
  </si>
  <si>
    <t>代表者</t>
    <rPh sb="0" eb="3">
      <t>ダイヒョウシャ</t>
    </rPh>
    <phoneticPr fontId="86"/>
  </si>
  <si>
    <t>甲田　太郎</t>
    <phoneticPr fontId="3"/>
  </si>
  <si>
    <t>書記担当</t>
    <rPh sb="0" eb="2">
      <t>ショキ</t>
    </rPh>
    <rPh sb="2" eb="4">
      <t>タントウ</t>
    </rPh>
    <phoneticPr fontId="86"/>
  </si>
  <si>
    <t>丙川　三郎</t>
    <phoneticPr fontId="3"/>
  </si>
  <si>
    <t>丁本　四郎</t>
    <phoneticPr fontId="3"/>
  </si>
  <si>
    <t>会計担当</t>
    <rPh sb="0" eb="2">
      <t>カイケイ</t>
    </rPh>
    <rPh sb="2" eb="4">
      <t>タントウ</t>
    </rPh>
    <phoneticPr fontId="86"/>
  </si>
  <si>
    <t>乙山　次郎</t>
    <phoneticPr fontId="3"/>
  </si>
  <si>
    <t>戊部　花子</t>
    <phoneticPr fontId="3"/>
  </si>
  <si>
    <t>共同機械担当</t>
    <rPh sb="0" eb="4">
      <t>キョウドウキカイ</t>
    </rPh>
    <rPh sb="4" eb="6">
      <t>タントウ</t>
    </rPh>
    <phoneticPr fontId="86"/>
  </si>
  <si>
    <t>己藤　五郎</t>
    <phoneticPr fontId="3"/>
  </si>
  <si>
    <t>土地改良施設担当</t>
    <rPh sb="0" eb="4">
      <t>トチカイリョウ</t>
    </rPh>
    <rPh sb="4" eb="8">
      <t>シセツタントウ</t>
    </rPh>
    <phoneticPr fontId="86"/>
  </si>
  <si>
    <t>法面点検担当</t>
    <rPh sb="0" eb="2">
      <t>ノリメン</t>
    </rPh>
    <rPh sb="2" eb="6">
      <t>テンケンタントウ</t>
    </rPh>
    <phoneticPr fontId="86"/>
  </si>
  <si>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86"/>
  </si>
  <si>
    <t>３－７．体制の維持・向上に向けた活動事項</t>
    <rPh sb="4" eb="6">
      <t>タイセイ</t>
    </rPh>
    <rPh sb="7" eb="9">
      <t>イジ</t>
    </rPh>
    <rPh sb="10" eb="12">
      <t>コウジョウ</t>
    </rPh>
    <rPh sb="13" eb="14">
      <t>ム</t>
    </rPh>
    <rPh sb="16" eb="18">
      <t>カツドウ</t>
    </rPh>
    <rPh sb="18" eb="20">
      <t>ジコウ</t>
    </rPh>
    <phoneticPr fontId="3"/>
  </si>
  <si>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86"/>
  </si>
  <si>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86"/>
  </si>
  <si>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</si>
  <si>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</si>
  <si>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</si>
  <si>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86"/>
  </si>
  <si>
    <t>（１）農業者団体以外の組織</t>
    <rPh sb="3" eb="6">
      <t>ノウギョウシャ</t>
    </rPh>
    <rPh sb="6" eb="8">
      <t>ダンタイ</t>
    </rPh>
    <rPh sb="8" eb="10">
      <t>イガイ</t>
    </rPh>
    <rPh sb="11" eb="13">
      <t>ソシキ</t>
    </rPh>
    <phoneticPr fontId="3"/>
  </si>
  <si>
    <t>参画方法</t>
    <rPh sb="0" eb="4">
      <t>サンカクホウホウ</t>
    </rPh>
    <phoneticPr fontId="86"/>
  </si>
  <si>
    <t>組織名</t>
    <rPh sb="0" eb="3">
      <t>ソシキメイ</t>
    </rPh>
    <phoneticPr fontId="86"/>
  </si>
  <si>
    <t>①集落協定の構成員</t>
    <rPh sb="1" eb="5">
      <t>シュウラクキョウテイ</t>
    </rPh>
    <rPh sb="6" eb="9">
      <t>コウセイイン</t>
    </rPh>
    <phoneticPr fontId="86"/>
  </si>
  <si>
    <t>②別途協定等を締結</t>
    <rPh sb="1" eb="3">
      <t>ベット</t>
    </rPh>
    <rPh sb="3" eb="6">
      <t>キョウテイトウ</t>
    </rPh>
    <rPh sb="7" eb="9">
      <t>テイケツ</t>
    </rPh>
    <phoneticPr fontId="86"/>
  </si>
  <si>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</si>
  <si>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</si>
  <si>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86"/>
  </si>
  <si>
    <t>人数</t>
    <rPh sb="0" eb="2">
      <t>ニンズウ</t>
    </rPh>
    <phoneticPr fontId="86"/>
  </si>
  <si>
    <t>②別途協定等を締結</t>
    <rPh sb="1" eb="5">
      <t>ベットキョウテイ</t>
    </rPh>
    <rPh sb="5" eb="6">
      <t>トウ</t>
    </rPh>
    <rPh sb="7" eb="9">
      <t>テイケツ</t>
    </rPh>
    <phoneticPr fontId="86"/>
  </si>
  <si>
    <t>合計</t>
    <rPh sb="0" eb="2">
      <t>ゴウケイ</t>
    </rPh>
    <phoneticPr fontId="86"/>
  </si>
  <si>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</si>
  <si>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</si>
  <si>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86"/>
  </si>
  <si>
    <t>④知見や技術の不足</t>
    <rPh sb="1" eb="3">
      <t>チケン</t>
    </rPh>
    <rPh sb="4" eb="6">
      <t>ギジュツ</t>
    </rPh>
    <rPh sb="7" eb="9">
      <t>フソク</t>
    </rPh>
    <phoneticPr fontId="86"/>
  </si>
  <si>
    <t>②共同取組活動参加者の不足</t>
    <rPh sb="1" eb="3">
      <t>キョウドウ</t>
    </rPh>
    <rPh sb="3" eb="5">
      <t>トリクミ</t>
    </rPh>
    <rPh sb="5" eb="7">
      <t>カツドウ</t>
    </rPh>
    <rPh sb="7" eb="10">
      <t>サンカシャ</t>
    </rPh>
    <rPh sb="11" eb="13">
      <t>フソク</t>
    </rPh>
    <phoneticPr fontId="86"/>
  </si>
  <si>
    <t>③農業作業の人材不足</t>
    <rPh sb="1" eb="3">
      <t>ノウギョウ</t>
    </rPh>
    <rPh sb="3" eb="5">
      <t>サギョウ</t>
    </rPh>
    <rPh sb="6" eb="8">
      <t>ジンザイ</t>
    </rPh>
    <rPh sb="8" eb="10">
      <t>ブソク</t>
    </rPh>
    <phoneticPr fontId="86"/>
  </si>
  <si>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86"/>
  </si>
  <si>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</si>
  <si>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86"/>
  </si>
  <si>
    <t>①事務の適切な実施</t>
    <phoneticPr fontId="86"/>
  </si>
  <si>
    <t>⑥鳥獣害対策</t>
    <rPh sb="1" eb="3">
      <t>チョウジュウ</t>
    </rPh>
    <rPh sb="3" eb="4">
      <t>ガイ</t>
    </rPh>
    <rPh sb="4" eb="6">
      <t>タイサク</t>
    </rPh>
    <phoneticPr fontId="86"/>
  </si>
  <si>
    <t>⑦多面的機能を増進する活動</t>
    <phoneticPr fontId="86"/>
  </si>
  <si>
    <t>④農作業</t>
    <rPh sb="1" eb="4">
      <t>ノウサギョウ</t>
    </rPh>
    <phoneticPr fontId="86"/>
  </si>
  <si>
    <t>⑤地場農産物の加工・販売</t>
    <rPh sb="1" eb="3">
      <t>ジバ</t>
    </rPh>
    <rPh sb="3" eb="6">
      <t>ノウサンブツ</t>
    </rPh>
    <rPh sb="7" eb="9">
      <t>カコウ</t>
    </rPh>
    <rPh sb="10" eb="12">
      <t>ハンバイ</t>
    </rPh>
    <phoneticPr fontId="86"/>
  </si>
  <si>
    <t>○</t>
  </si>
  <si>
    <t>⑧</t>
  </si>
  <si>
    <t>①</t>
  </si>
  <si>
    <t>⑤</t>
  </si>
  <si>
    <t>⑥</t>
  </si>
  <si>
    <t>①＋②が③に占める割合</t>
    <phoneticPr fontId="3"/>
  </si>
  <si>
    <t>（小数点以下切り捨て）</t>
    <phoneticPr fontId="3"/>
  </si>
  <si>
    <t>③集落協定の全構成員数（集落協定の構成員数（農業者数＋①※組織数は含めない）に②を加えた人数）</t>
    <phoneticPr fontId="86"/>
  </si>
  <si>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</si>
  <si>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</si>
  <si>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L</t>
    <phoneticPr fontId="3"/>
  </si>
  <si>
    <t>％</t>
    <phoneticPr fontId="3"/>
  </si>
  <si>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3"/>
  </si>
  <si>
    <t>令和7年度</t>
  </si>
  <si>
    <t>令和8年度</t>
  </si>
  <si>
    <t>令和9年度</t>
  </si>
  <si>
    <t>　○ 取り崩し予定年度：</t>
    <phoneticPr fontId="3"/>
  </si>
  <si>
    <t>（協定期間内）</t>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</si>
  <si>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</si>
  <si>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</si>
  <si>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</si>
  <si>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</si>
  <si>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</si>
  <si>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</si>
  <si>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</si>
  <si>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</si>
  <si>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</si>
  <si>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</si>
  <si>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</si>
  <si>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</si>
  <si>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</si>
  <si>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</si>
  <si>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</si>
  <si>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</si>
  <si>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</si>
  <si>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</si>
  <si>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</si>
  <si>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</si>
  <si>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</si>
  <si>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</si>
  <si>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</si>
  <si>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</si>
  <si>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</si>
  <si>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</si>
  <si>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</si>
  <si>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</si>
  <si>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</si>
  <si>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</si>
  <si>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</si>
  <si>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</si>
  <si>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</si>
  <si>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</si>
  <si>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</si>
  <si>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</si>
  <si>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</si>
  <si>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</si>
  <si>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</si>
  <si>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</si>
  <si>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</si>
  <si>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</si>
  <si>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</si>
  <si>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</si>
  <si>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</si>
  <si>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</si>
  <si>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</si>
  <si>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</si>
  <si>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</si>
  <si>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</si>
  <si>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</si>
  <si>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</si>
  <si>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</si>
  <si>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</si>
  <si>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</si>
  <si>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</si>
  <si>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</si>
  <si>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</si>
  <si>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</si>
  <si>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</si>
  <si>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</si>
  <si>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</si>
  <si>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</si>
  <si>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</si>
  <si>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</si>
  <si>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</si>
  <si>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</si>
  <si>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</si>
  <si>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</si>
  <si>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</si>
  <si>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</si>
  <si>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</si>
  <si>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</si>
  <si>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</si>
  <si>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</si>
  <si>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</si>
  <si>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</si>
  <si>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</si>
  <si>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</si>
  <si>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</si>
  <si>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</si>
  <si>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</si>
  <si>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</si>
  <si>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市町村長　　殿</t>
    <rPh sb="0" eb="4">
      <t>シチョウソンチョウ</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</si>
  <si>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</si>
  <si>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</si>
  <si>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</si>
  <si>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</si>
  <si>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</si>
  <si>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</si>
  <si>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</si>
  <si>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</si>
  <si>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</si>
  <si>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</si>
  <si>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</si>
  <si>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</si>
  <si>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</si>
  <si>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</si>
  <si>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　）</t>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</si>
  <si>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</si>
  <si>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</si>
  <si>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</si>
  <si>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</si>
  <si>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</si>
  <si>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</si>
  <si>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市町村長殿</t>
    <rPh sb="0" eb="4">
      <t>シチョウソンチョウ</t>
    </rPh>
    <rPh sb="4" eb="5">
      <t>ドノ</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</si>
  <si>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</si>
  <si>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103"/>
  </si>
  <si>
    <t>日　付</t>
    <phoneticPr fontId="3"/>
  </si>
  <si>
    <t>内　　容</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</si>
  <si>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</si>
  <si>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</si>
  <si>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</si>
  <si>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</si>
  <si>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</si>
  <si>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前年度からの繰越・積立</t>
    <rPh sb="0" eb="3">
      <t>ゼンネンド</t>
    </rPh>
    <rPh sb="6" eb="8">
      <t>クリコシ</t>
    </rPh>
    <rPh sb="9" eb="11">
      <t>ツミタテ</t>
    </rPh>
    <phoneticPr fontId="3"/>
  </si>
  <si>
    <t>うち積立金1,000,000円</t>
    <rPh sb="2" eb="4">
      <t>ツミタテ</t>
    </rPh>
    <rPh sb="4" eb="5">
      <t>キン</t>
    </rPh>
    <rPh sb="14" eb="15">
      <t>エン</t>
    </rPh>
    <phoneticPr fontId="103"/>
  </si>
  <si>
    <t>利子</t>
    <rPh sb="0" eb="2">
      <t>リシ</t>
    </rPh>
    <phoneticPr fontId="3"/>
  </si>
  <si>
    <t>総会会場借料</t>
    <rPh sb="0" eb="2">
      <t>ソウカイ</t>
    </rPh>
    <rPh sb="2" eb="4">
      <t>カイジョウ</t>
    </rPh>
    <rPh sb="4" eb="6">
      <t>シャクリョウ</t>
    </rPh>
    <phoneticPr fontId="3"/>
  </si>
  <si>
    <t>草刈刃の購入</t>
    <rPh sb="0" eb="2">
      <t>クサカリ</t>
    </rPh>
    <rPh sb="2" eb="3">
      <t>ハ</t>
    </rPh>
    <rPh sb="4" eb="6">
      <t>コウニュウ</t>
    </rPh>
    <phoneticPr fontId="103"/>
  </si>
  <si>
    <t>無人草刈り機の購入</t>
    <rPh sb="0" eb="2">
      <t>ムジン</t>
    </rPh>
    <rPh sb="2" eb="4">
      <t>クサカ</t>
    </rPh>
    <rPh sb="5" eb="6">
      <t>キ</t>
    </rPh>
    <rPh sb="7" eb="9">
      <t>コウニュウ</t>
    </rPh>
    <phoneticPr fontId="103"/>
  </si>
  <si>
    <t>積立金からの支出300,000円</t>
    <rPh sb="0" eb="2">
      <t>ツミタテ</t>
    </rPh>
    <rPh sb="2" eb="3">
      <t>キン</t>
    </rPh>
    <rPh sb="6" eb="8">
      <t>シシュツ</t>
    </rPh>
    <rPh sb="15" eb="16">
      <t>エン</t>
    </rPh>
    <phoneticPr fontId="3"/>
  </si>
  <si>
    <t>○○資材の購入費</t>
    <rPh sb="2" eb="4">
      <t>シザイ</t>
    </rPh>
    <rPh sb="5" eb="8">
      <t>コウニュウヒ</t>
    </rPh>
    <phoneticPr fontId="3"/>
  </si>
  <si>
    <t>鳥獣害防止柵の補修</t>
    <rPh sb="0" eb="1">
      <t>トリ</t>
    </rPh>
    <rPh sb="1" eb="3">
      <t>ジュウガイ</t>
    </rPh>
    <rPh sb="3" eb="5">
      <t>ボウシ</t>
    </rPh>
    <rPh sb="5" eb="6">
      <t>サク</t>
    </rPh>
    <rPh sb="7" eb="9">
      <t>ホシュウ</t>
    </rPh>
    <phoneticPr fontId="3"/>
  </si>
  <si>
    <t>水路泥上げ</t>
    <rPh sb="0" eb="2">
      <t>スイロ</t>
    </rPh>
    <rPh sb="2" eb="3">
      <t>ドロ</t>
    </rPh>
    <rPh sb="3" eb="4">
      <t>ア</t>
    </rPh>
    <phoneticPr fontId="103"/>
  </si>
  <si>
    <t>農道の補修</t>
    <rPh sb="0" eb="2">
      <t>ノウドウ</t>
    </rPh>
    <rPh sb="3" eb="5">
      <t>ホシュウ</t>
    </rPh>
    <phoneticPr fontId="3"/>
  </si>
  <si>
    <t>水路の補修</t>
    <rPh sb="0" eb="2">
      <t>スイロ</t>
    </rPh>
    <rPh sb="3" eb="5">
      <t>ホシュウ</t>
    </rPh>
    <phoneticPr fontId="3"/>
  </si>
  <si>
    <t>9,10</t>
    <phoneticPr fontId="3"/>
  </si>
  <si>
    <t>役員報酬</t>
    <rPh sb="0" eb="2">
      <t>ヤクイン</t>
    </rPh>
    <rPh sb="2" eb="4">
      <t>ホウシュウ</t>
    </rPh>
    <phoneticPr fontId="103"/>
  </si>
  <si>
    <t>交付金</t>
    <rPh sb="0" eb="3">
      <t>コウフキン</t>
    </rPh>
    <phoneticPr fontId="103"/>
  </si>
  <si>
    <t>個人配分</t>
    <rPh sb="0" eb="2">
      <t>コジン</t>
    </rPh>
    <rPh sb="2" eb="4">
      <t>ハイブン</t>
    </rPh>
    <phoneticPr fontId="3"/>
  </si>
  <si>
    <t>12~55</t>
    <phoneticPr fontId="3"/>
  </si>
  <si>
    <t>水路清掃</t>
    <rPh sb="0" eb="2">
      <t>スイロ</t>
    </rPh>
    <rPh sb="2" eb="4">
      <t>セイソウ</t>
    </rPh>
    <phoneticPr fontId="3"/>
  </si>
  <si>
    <t>56~57</t>
    <phoneticPr fontId="3"/>
  </si>
  <si>
    <t>研修会会場借料</t>
    <rPh sb="0" eb="3">
      <t>ケンシュウカイ</t>
    </rPh>
    <rPh sb="3" eb="5">
      <t>カイジョウ</t>
    </rPh>
    <rPh sb="5" eb="7">
      <t>シャクリョウ</t>
    </rPh>
    <phoneticPr fontId="3"/>
  </si>
  <si>
    <t>水路の更新等</t>
    <rPh sb="0" eb="2">
      <t>スイロ</t>
    </rPh>
    <rPh sb="3" eb="5">
      <t>コウシン</t>
    </rPh>
    <rPh sb="5" eb="6">
      <t>トウ</t>
    </rPh>
    <phoneticPr fontId="103"/>
  </si>
  <si>
    <t>草刈り、泥上げ等</t>
    <rPh sb="0" eb="2">
      <t>クサカ</t>
    </rPh>
    <rPh sb="4" eb="5">
      <t>ドロ</t>
    </rPh>
    <rPh sb="5" eb="6">
      <t>ア</t>
    </rPh>
    <rPh sb="7" eb="8">
      <t>トウ</t>
    </rPh>
    <phoneticPr fontId="103"/>
  </si>
  <si>
    <t>その他の支出</t>
    <rPh sb="4" eb="6">
      <t>シシュツ</t>
    </rPh>
    <phoneticPr fontId="3"/>
  </si>
  <si>
    <t>法人登記費用</t>
    <rPh sb="0" eb="2">
      <t>ホウジン</t>
    </rPh>
    <rPh sb="2" eb="4">
      <t>トウキ</t>
    </rPh>
    <rPh sb="4" eb="6">
      <t>ヒヨウ</t>
    </rPh>
    <phoneticPr fontId="3"/>
  </si>
  <si>
    <t>交流イベント</t>
    <rPh sb="0" eb="2">
      <t>コウリュウ</t>
    </rPh>
    <phoneticPr fontId="3"/>
  </si>
  <si>
    <t>電気柵の補修</t>
    <rPh sb="0" eb="2">
      <t>デンキ</t>
    </rPh>
    <rPh sb="2" eb="3">
      <t>サク</t>
    </rPh>
    <rPh sb="4" eb="6">
      <t>ホシュウ</t>
    </rPh>
    <phoneticPr fontId="3"/>
  </si>
  <si>
    <t>農産物PRシールの印刷</t>
    <rPh sb="0" eb="3">
      <t>ノウサンブツ</t>
    </rPh>
    <rPh sb="9" eb="11">
      <t>インサツ</t>
    </rPh>
    <phoneticPr fontId="3"/>
  </si>
  <si>
    <t>プリンタートナー代</t>
    <rPh sb="8" eb="9">
      <t>ダイ</t>
    </rPh>
    <phoneticPr fontId="3"/>
  </si>
  <si>
    <t>コピー用紙代</t>
    <rPh sb="3" eb="5">
      <t>ヨウシ</t>
    </rPh>
    <rPh sb="5" eb="6">
      <t>ダイ</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</si>
  <si>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</si>
  <si>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</si>
  <si>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</si>
  <si>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</si>
  <si>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</si>
  <si>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</si>
  <si>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</si>
  <si>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</si>
  <si>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トラクターの購入</t>
    <rPh sb="6" eb="8">
      <t>コウニュウ</t>
    </rPh>
    <phoneticPr fontId="3"/>
  </si>
  <si>
    <t>令和６年度</t>
    <rPh sb="0" eb="2">
      <t>レイワ</t>
    </rPh>
    <rPh sb="3" eb="5">
      <t>ネンド</t>
    </rPh>
    <phoneticPr fontId="3"/>
  </si>
  <si>
    <t>農機具格納庫の補修</t>
    <rPh sb="0" eb="3">
      <t>ノウキグ</t>
    </rPh>
    <rPh sb="3" eb="6">
      <t>カクノウコ</t>
    </rPh>
    <rPh sb="7" eb="9">
      <t>ホシュウ</t>
    </rPh>
    <phoneticPr fontId="3"/>
  </si>
  <si>
    <t>令和５年度</t>
    <rPh sb="0" eb="2">
      <t>レイワ</t>
    </rPh>
    <rPh sb="3" eb="5">
      <t>ネンド</t>
    </rPh>
    <phoneticPr fontId="3"/>
  </si>
  <si>
    <t>農道・水路の補修</t>
    <rPh sb="0" eb="2">
      <t>ノウドウ</t>
    </rPh>
    <rPh sb="3" eb="5">
      <t>スイロ</t>
    </rPh>
    <rPh sb="6" eb="8">
      <t>ホシュウ</t>
    </rPh>
    <phoneticPr fontId="3"/>
  </si>
  <si>
    <t>令和４年度</t>
    <rPh sb="0" eb="2">
      <t>レイワ</t>
    </rPh>
    <rPh sb="3" eb="5">
      <t>ネンド</t>
    </rPh>
    <phoneticPr fontId="3"/>
  </si>
  <si>
    <t>翌年度当初の活動費</t>
    <rPh sb="0" eb="3">
      <t>ヨクネンド</t>
    </rPh>
    <rPh sb="3" eb="5">
      <t>トウショ</t>
    </rPh>
    <rPh sb="6" eb="8">
      <t>カツドウ</t>
    </rPh>
    <rPh sb="8" eb="9">
      <t>ヒ</t>
    </rPh>
    <phoneticPr fontId="3"/>
  </si>
  <si>
    <t>令和３年度</t>
    <rPh sb="0" eb="2">
      <t>レイワ</t>
    </rPh>
    <rPh sb="3" eb="5">
      <t>ネンド</t>
    </rPh>
    <phoneticPr fontId="3"/>
  </si>
  <si>
    <t xml:space="preserve">【集計】 </t>
    <rPh sb="1" eb="3">
      <t>シュウケイ</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</si>
  <si>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</si>
  <si>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</si>
  <si>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</si>
  <si>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</si>
  <si>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</si>
  <si>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</si>
  <si>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</si>
  <si>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</si>
  <si>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</si>
  <si>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</si>
  <si>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</si>
  <si>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</si>
  <si>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</si>
  <si>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</si>
  <si>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</si>
  <si>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</si>
  <si>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長　殿</t>
    <rPh sb="0" eb="1">
      <t>チョウ</t>
    </rPh>
    <rPh sb="2" eb="3">
      <t>ドノ</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</si>
  <si>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</si>
  <si>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</si>
  <si>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</si>
  <si>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</si>
  <si>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</si>
  <si>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</si>
  <si>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</si>
  <si>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均等割りで按分（２－②参照）</t>
    <rPh sb="0" eb="3">
      <t>キントウワ</t>
    </rPh>
    <rPh sb="5" eb="7">
      <t>アンブン</t>
    </rPh>
    <rPh sb="11" eb="13">
      <t>サンショウ</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</si>
  <si>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</si>
  <si>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</si>
  <si>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</si>
  <si>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</si>
  <si>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</si>
  <si>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</si>
  <si>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役員〇名×年額〇円</t>
    <rPh sb="0" eb="2">
      <t>ヤクイン</t>
    </rPh>
    <rPh sb="3" eb="4">
      <t>メイ</t>
    </rPh>
    <rPh sb="5" eb="7">
      <t>ネンガク</t>
    </rPh>
    <rPh sb="8" eb="9">
      <t>エン</t>
    </rPh>
    <phoneticPr fontId="3"/>
  </si>
  <si>
    <t>会議室借料、資料印刷費</t>
    <rPh sb="0" eb="3">
      <t>カイギシツ</t>
    </rPh>
    <rPh sb="3" eb="5">
      <t>シャクリョウ</t>
    </rPh>
    <rPh sb="6" eb="8">
      <t>シリョウ</t>
    </rPh>
    <rPh sb="8" eb="10">
      <t>インサツ</t>
    </rPh>
    <rPh sb="10" eb="11">
      <t>ヒ</t>
    </rPh>
    <phoneticPr fontId="3"/>
  </si>
  <si>
    <t>○○資材購入</t>
    <rPh sb="2" eb="4">
      <t>シザイ</t>
    </rPh>
    <rPh sb="4" eb="6">
      <t>コウニュウ</t>
    </rPh>
    <phoneticPr fontId="3"/>
  </si>
  <si>
    <t>水路補修</t>
    <rPh sb="0" eb="2">
      <t>スイロ</t>
    </rPh>
    <rPh sb="2" eb="4">
      <t>ホシュウ</t>
    </rPh>
    <phoneticPr fontId="3"/>
  </si>
  <si>
    <t>草刈刃購入</t>
    <rPh sb="0" eb="2">
      <t>クサカリ</t>
    </rPh>
    <rPh sb="2" eb="3">
      <t>ハ</t>
    </rPh>
    <rPh sb="3" eb="5">
      <t>コウニュウ</t>
    </rPh>
    <phoneticPr fontId="3"/>
  </si>
  <si>
    <t>簡易な基盤整備</t>
    <rPh sb="0" eb="2">
      <t>カンイ</t>
    </rPh>
    <rPh sb="3" eb="5">
      <t>キバン</t>
    </rPh>
    <rPh sb="5" eb="7">
      <t>セイビ</t>
    </rPh>
    <phoneticPr fontId="3"/>
  </si>
  <si>
    <t>景観作物の種子代等</t>
    <rPh sb="0" eb="2">
      <t>ケイカン</t>
    </rPh>
    <rPh sb="2" eb="4">
      <t>サクモツ</t>
    </rPh>
    <rPh sb="5" eb="7">
      <t>シュシ</t>
    </rPh>
    <rPh sb="7" eb="8">
      <t>ダイ</t>
    </rPh>
    <rPh sb="8" eb="9">
      <t>トウ</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</si>
  <si>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</si>
  <si>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</si>
  <si>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</si>
  <si>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</si>
  <si>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</si>
  <si>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</si>
  <si>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</si>
  <si>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</si>
  <si>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</si>
  <si>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</si>
  <si>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（様式第１－7号）</t>
    <phoneticPr fontId="86"/>
  </si>
  <si>
    <t>【活動組織から市町村に提出するもの】</t>
    <phoneticPr fontId="86"/>
  </si>
  <si>
    <t>農林水産省様式</t>
    <phoneticPr fontId="86"/>
  </si>
  <si>
    <t>○○年度　</t>
    <rPh sb="2" eb="4">
      <t>ネンド</t>
    </rPh>
    <phoneticPr fontId="103"/>
  </si>
  <si>
    <t>多面的機能支払交付金 金銭出納簿</t>
    <phoneticPr fontId="3"/>
  </si>
  <si>
    <t>★「分類」欄は、分類番号（１～８）から選択してください。</t>
    <rPh sb="2" eb="4">
      <t>ブンルイ</t>
    </rPh>
    <rPh sb="5" eb="6">
      <t>ラン</t>
    </rPh>
    <rPh sb="8" eb="10">
      <t>ブンルイ</t>
    </rPh>
    <rPh sb="10" eb="12">
      <t>バンゴウ</t>
    </rPh>
    <rPh sb="19" eb="21">
      <t>センタク</t>
    </rPh>
    <phoneticPr fontId="103"/>
  </si>
  <si>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</si>
  <si>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</si>
  <si>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3"/>
  </si>
  <si>
    <t>日付</t>
    <phoneticPr fontId="3"/>
  </si>
  <si>
    <t>分類</t>
    <phoneticPr fontId="3"/>
  </si>
  <si>
    <t>収入（円）</t>
    <rPh sb="0" eb="2">
      <t>シュウニュウ</t>
    </rPh>
    <rPh sb="3" eb="4">
      <t>エン</t>
    </rPh>
    <phoneticPr fontId="3"/>
  </si>
  <si>
    <t>領収書
番号</t>
    <phoneticPr fontId="3"/>
  </si>
  <si>
    <t>活動
実施日</t>
    <phoneticPr fontId="3"/>
  </si>
  <si>
    <t>長寿命化への活用</t>
    <rPh sb="0" eb="4">
      <t>チョウジュミョウカ</t>
    </rPh>
    <rPh sb="6" eb="8">
      <t>カツヨウ</t>
    </rPh>
    <phoneticPr fontId="103"/>
  </si>
  <si>
    <t>この線より上に行を挿入してください。</t>
    <rPh sb="2" eb="3">
      <t>セン</t>
    </rPh>
    <rPh sb="5" eb="6">
      <t>ウエ</t>
    </rPh>
    <rPh sb="7" eb="8">
      <t>ギョウ</t>
    </rPh>
    <rPh sb="9" eb="11">
      <t>ソウニュウ</t>
    </rPh>
    <phoneticPr fontId="10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</si>
  <si>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</si>
  <si>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資源向上（長寿命化）</t>
    <rPh sb="0" eb="2">
      <t>シゲン</t>
    </rPh>
    <rPh sb="2" eb="4">
      <t>コウジョウ</t>
    </rPh>
    <rPh sb="5" eb="9">
      <t>チョウジュミョウカ</t>
    </rPh>
    <phoneticPr fontId="103"/>
  </si>
  <si>
    <t>（円）</t>
    <rPh sb="1" eb="2">
      <t>エン</t>
    </rPh>
    <phoneticPr fontId="3"/>
  </si>
  <si>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</si>
  <si>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</si>
  <si>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</si>
  <si>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</si>
  <si>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</si>
  <si>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</si>
  <si>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</si>
  <si>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</si>
  <si>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 xml:space="preserve">  次年度への持越（残高）</t>
    <rPh sb="2" eb="5">
      <t>ジネンド</t>
    </rPh>
    <rPh sb="7" eb="8">
      <t>モ</t>
    </rPh>
    <rPh sb="8" eb="9">
      <t>コ</t>
    </rPh>
    <rPh sb="10" eb="12">
      <t>ザンダカ</t>
    </rPh>
    <phoneticPr fontId="2"/>
  </si>
  <si>
    <t xml:space="preserve">  次年度への持越（残高）</t>
    <rPh sb="2" eb="5">
      <t>ジネンド</t>
    </rPh>
    <rPh sb="7" eb="8">
      <t>モ</t>
    </rPh>
    <rPh sb="8" eb="9">
      <t>コ</t>
    </rPh>
    <rPh sb="10" eb="12">
      <t>ザンダカ</t>
    </rPh>
    <phoneticPr fontId="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</si>
  <si>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3"/>
  </si>
  <si>
    <t>番号</t>
    <rPh sb="0" eb="2">
      <t>バンゴウ</t>
    </rPh>
    <phoneticPr fontId="103"/>
  </si>
  <si>
    <t>費目</t>
    <rPh sb="0" eb="2">
      <t>ヒモク</t>
    </rPh>
    <phoneticPr fontId="103"/>
  </si>
  <si>
    <t>内　　　容　       （例）</t>
    <rPh sb="0" eb="1">
      <t>ウチ</t>
    </rPh>
    <rPh sb="4" eb="5">
      <t>カタチ</t>
    </rPh>
    <rPh sb="14" eb="15">
      <t>レイ</t>
    </rPh>
    <phoneticPr fontId="103"/>
  </si>
  <si>
    <t>前年度持越</t>
    <rPh sb="0" eb="3">
      <t>ゼンネンド</t>
    </rPh>
    <rPh sb="3" eb="5">
      <t>モチコシ</t>
    </rPh>
    <phoneticPr fontId="3"/>
  </si>
  <si>
    <t>前年度からの持越金</t>
    <rPh sb="0" eb="3">
      <t>ゼンネンド</t>
    </rPh>
    <rPh sb="6" eb="8">
      <t>モチコシ</t>
    </rPh>
    <rPh sb="8" eb="9">
      <t>キン</t>
    </rPh>
    <phoneticPr fontId="103"/>
  </si>
  <si>
    <t>交付金</t>
    <rPh sb="0" eb="3">
      <t>コウフキン</t>
    </rPh>
    <phoneticPr fontId="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</si>
  <si>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3"/>
  </si>
  <si>
    <t>利子等</t>
    <rPh sb="0" eb="2">
      <t>リシ</t>
    </rPh>
    <rPh sb="2" eb="3">
      <t>トウ</t>
    </rPh>
    <phoneticPr fontId="3"/>
  </si>
  <si>
    <t>利子等、構成員による活動資金の立替金</t>
    <rPh sb="0" eb="2">
      <t>リシ</t>
    </rPh>
    <rPh sb="2" eb="3">
      <t>トウ</t>
    </rPh>
    <rPh sb="4" eb="7">
      <t>コウセイイン</t>
    </rPh>
    <rPh sb="10" eb="12">
      <t>カツドウ</t>
    </rPh>
    <rPh sb="12" eb="14">
      <t>シキン</t>
    </rPh>
    <rPh sb="15" eb="18">
      <t>タテカエキン</t>
    </rPh>
    <phoneticPr fontId="103"/>
  </si>
  <si>
    <t>日当</t>
    <rPh sb="0" eb="2">
      <t>ニットウ</t>
    </rPh>
    <phoneticPr fontId="103"/>
  </si>
  <si>
    <t>活動参加者に対して支払った日当</t>
    <rPh sb="0" eb="2">
      <t>カツドウ</t>
    </rPh>
    <rPh sb="2" eb="5">
      <t>サンカシャ</t>
    </rPh>
    <rPh sb="6" eb="7">
      <t>タイ</t>
    </rPh>
    <rPh sb="9" eb="11">
      <t>シハラ</t>
    </rPh>
    <rPh sb="13" eb="15">
      <t>ニットウ</t>
    </rPh>
    <phoneticPr fontId="103"/>
  </si>
  <si>
    <t>購入・リース費</t>
    <rPh sb="0" eb="2">
      <t>コウニュウ</t>
    </rPh>
    <rPh sb="6" eb="7">
      <t>ヒ</t>
    </rPh>
    <phoneticPr fontId="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</si>
  <si>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3"/>
  </si>
  <si>
    <t>外注費</t>
    <rPh sb="0" eb="3">
      <t>ガイチュウヒ</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</si>
  <si>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3"/>
  </si>
  <si>
    <t>その他支出</t>
    <rPh sb="2" eb="3">
      <t>タ</t>
    </rPh>
    <rPh sb="3" eb="5">
      <t>シシュツ</t>
    </rPh>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</si>
  <si>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3"/>
  </si>
  <si>
    <t>返還</t>
    <rPh sb="0" eb="2">
      <t>ヘンカン</t>
    </rPh>
    <phoneticPr fontId="3"/>
  </si>
  <si>
    <t>返還金、他の活動組織への融通額・返還額</t>
    <rPh sb="0" eb="2">
      <t>ヘンカン</t>
    </rPh>
    <rPh sb="2" eb="3">
      <t>キン</t>
    </rPh>
    <phoneticPr fontId="103"/>
  </si>
  <si>
    <t>★「分類」欄は、分類番号（１～20）から選択してください。</t>
    <phoneticPr fontId="3"/>
  </si>
  <si>
    <t>１．前年度からの繰越・積立</t>
    <rPh sb="2" eb="5">
      <t>ゼンネンド</t>
    </rPh>
    <rPh sb="8" eb="10">
      <t>クリコシ</t>
    </rPh>
    <rPh sb="11" eb="13">
      <t>ツミタテ</t>
    </rPh>
    <phoneticPr fontId="103"/>
  </si>
  <si>
    <t>２．交付金</t>
    <rPh sb="2" eb="5">
      <t>コウフキン</t>
    </rPh>
    <phoneticPr fontId="103"/>
  </si>
  <si>
    <t>３．利子等その他収入</t>
    <rPh sb="2" eb="4">
      <t>リシ</t>
    </rPh>
    <rPh sb="4" eb="5">
      <t>トウ</t>
    </rPh>
    <rPh sb="7" eb="8">
      <t>タ</t>
    </rPh>
    <rPh sb="8" eb="10">
      <t>シュウニュウ</t>
    </rPh>
    <phoneticPr fontId="103"/>
  </si>
  <si>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</si>
  <si>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</si>
  <si>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</si>
  <si>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</si>
  <si>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</si>
  <si>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</si>
  <si>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</si>
  <si>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</si>
  <si>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</si>
  <si>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</si>
  <si>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</si>
  <si>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</si>
  <si>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</si>
  <si>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</si>
  <si>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</si>
  <si>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</si>
  <si>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</si>
  <si>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</si>
  <si>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</si>
  <si>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</si>
  <si>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</si>
  <si>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</si>
  <si>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</si>
  <si>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</si>
  <si>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</si>
  <si>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</si>
  <si>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</si>
  <si>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</si>
  <si>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</si>
  <si>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</si>
  <si>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</si>
  <si>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</si>
  <si>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</si>
  <si>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</si>
  <si>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</si>
  <si>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</si>
  <si>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</si>
  <si>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</si>
  <si>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103"/>
  </si>
  <si>
    <t>分類</t>
    <rPh sb="0" eb="2">
      <t>ブンルイ</t>
    </rPh>
    <phoneticPr fontId="103"/>
  </si>
  <si>
    <t>２．交付金</t>
    <phoneticPr fontId="103"/>
  </si>
  <si>
    <t>３．利子等その他収入</t>
    <phoneticPr fontId="103"/>
  </si>
  <si>
    <t>※「分類」には、下表を参考に該当する費目を記入します。</t>
    <phoneticPr fontId="103"/>
  </si>
  <si>
    <t>内　　容</t>
  </si>
  <si>
    <t>活動実施日</t>
    <rPh sb="0" eb="5">
      <t>カツドウジッシビ</t>
    </rPh>
    <phoneticPr fontId="3"/>
  </si>
  <si>
    <t>この線より上に行を挿入してください。</t>
  </si>
  <si>
    <t>※分類欄は下右表の「積立・繰越金の分類項目」から選択してください。</t>
    <phoneticPr fontId="3"/>
  </si>
  <si>
    <t>「積立・繰越金の分類項目」</t>
    <phoneticPr fontId="103"/>
  </si>
  <si>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</si>
  <si>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</si>
  <si>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</si>
  <si>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</si>
  <si>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（様式第１－６号）</t>
    <phoneticPr fontId="86"/>
  </si>
  <si>
    <t>組織名：</t>
    <rPh sb="0" eb="3">
      <t>ソシキメイ</t>
    </rPh>
    <phoneticPr fontId="3"/>
  </si>
  <si>
    <t>○○</t>
    <phoneticPr fontId="3"/>
  </si>
  <si>
    <t>年度　多面的機能支払交付金　活動記録</t>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</si>
  <si>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</si>
  <si>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3"/>
  </si>
  <si>
    <t>活動実施日時</t>
    <rPh sb="0" eb="2">
      <t>カツドウ</t>
    </rPh>
    <rPh sb="2" eb="4">
      <t>ジッシ</t>
    </rPh>
    <rPh sb="4" eb="6">
      <t>ニチジ</t>
    </rPh>
    <phoneticPr fontId="3"/>
  </si>
  <si>
    <t>活動参加人数</t>
    <rPh sb="0" eb="2">
      <t>カツドウ</t>
    </rPh>
    <rPh sb="2" eb="4">
      <t>サンカ</t>
    </rPh>
    <rPh sb="4" eb="6">
      <t>ニンズウ</t>
    </rPh>
    <phoneticPr fontId="3"/>
  </si>
  <si>
    <t>活動項目番号（左詰め）</t>
    <rPh sb="0" eb="2">
      <t>カツドウ</t>
    </rPh>
    <rPh sb="2" eb="4">
      <t>コウモク</t>
    </rPh>
    <rPh sb="4" eb="6">
      <t>バンゴウ</t>
    </rPh>
    <rPh sb="7" eb="8">
      <t>ヒダリ</t>
    </rPh>
    <rPh sb="8" eb="9">
      <t>ツ</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</si>
  <si>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</si>
  <si>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</si>
  <si>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</si>
  <si>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実施時間</t>
    <rPh sb="0" eb="2">
      <t>ジッシ</t>
    </rPh>
    <rPh sb="2" eb="4">
      <t>ジカン</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</si>
  <si>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</si>
  <si>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</si>
  <si>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</si>
  <si>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</si>
  <si>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活動区分</t>
    <rPh sb="0" eb="2">
      <t>カツドウ</t>
    </rPh>
    <rPh sb="2" eb="4">
      <t>クブン</t>
    </rPh>
    <phoneticPr fontId="3"/>
  </si>
  <si>
    <t>活動項目</t>
    <rPh sb="0" eb="2">
      <t>カツドウ</t>
    </rPh>
    <rPh sb="2" eb="4">
      <t>コウモク</t>
    </rPh>
    <phoneticPr fontId="3"/>
  </si>
  <si>
    <t>開始時刻</t>
    <rPh sb="0" eb="2">
      <t>カイシ</t>
    </rPh>
    <rPh sb="2" eb="4">
      <t>ジコク</t>
    </rPh>
    <phoneticPr fontId="3"/>
  </si>
  <si>
    <t>この線より上に行を挿入してください。</t>
    <rPh sb="2" eb="3">
      <t>セン</t>
    </rPh>
    <rPh sb="5" eb="6">
      <t>ウエ</t>
    </rPh>
    <rPh sb="7" eb="8">
      <t>ギョウ</t>
    </rPh>
    <rPh sb="9" eb="11">
      <t>ソウニュウ</t>
    </rPh>
    <phoneticPr fontId="3"/>
  </si>
  <si>
    <t>農業者以外</t>
    <rPh sb="0" eb="3">
      <t>ノウギョウシャ</t>
    </rPh>
    <rPh sb="3" eb="5">
      <t>イガイ</t>
    </rPh>
    <phoneticPr fontId="3"/>
  </si>
  <si>
    <t>活動に参加した最大人数</t>
    <rPh sb="0" eb="2">
      <t>カツドウ</t>
    </rPh>
    <rPh sb="3" eb="5">
      <t>サンカ</t>
    </rPh>
    <rPh sb="7" eb="9">
      <t>サイダイ</t>
    </rPh>
    <rPh sb="9" eb="11">
      <t>ニンズウ</t>
    </rPh>
    <phoneticPr fontId="3"/>
  </si>
  <si>
    <t>活動項目番号表</t>
    <rPh sb="0" eb="2">
      <t>カツドウ</t>
    </rPh>
    <rPh sb="2" eb="4">
      <t>コウモク</t>
    </rPh>
    <rPh sb="4" eb="6">
      <t>バンゴウ</t>
    </rPh>
    <rPh sb="6" eb="7">
      <t>ヒョウ</t>
    </rPh>
    <phoneticPr fontId="3"/>
  </si>
  <si>
    <t>活動項目番号</t>
    <rPh sb="0" eb="6">
      <t>カツドウコウモクバンゴウ</t>
    </rPh>
    <phoneticPr fontId="3"/>
  </si>
  <si>
    <t>事務処理</t>
    <rPh sb="0" eb="2">
      <t>ジム</t>
    </rPh>
    <rPh sb="2" eb="4">
      <t>ショリ</t>
    </rPh>
    <phoneticPr fontId="3"/>
  </si>
  <si>
    <t>会議など</t>
    <rPh sb="0" eb="2">
      <t>カイギ</t>
    </rPh>
    <phoneticPr fontId="3"/>
  </si>
  <si>
    <t>【農地維持活動】</t>
    <rPh sb="1" eb="3">
      <t>ノウチ</t>
    </rPh>
    <rPh sb="3" eb="5">
      <t>イジ</t>
    </rPh>
    <rPh sb="5" eb="7">
      <t>カツドウ</t>
    </rPh>
    <phoneticPr fontId="3"/>
  </si>
  <si>
    <t>（地域資源の基礎的な保全活動）</t>
    <phoneticPr fontId="3"/>
  </si>
  <si>
    <t>活動区分</t>
    <rPh sb="2" eb="4">
      <t>クブン</t>
    </rPh>
    <phoneticPr fontId="86"/>
  </si>
  <si>
    <t>活動項目番号</t>
    <rPh sb="0" eb="2">
      <t>カツドウ</t>
    </rPh>
    <rPh sb="2" eb="4">
      <t>コウモク</t>
    </rPh>
    <rPh sb="4" eb="6">
      <t>バンゴウ</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</si>
  <si>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</si>
  <si>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１（農地維持）</t>
    <phoneticPr fontId="3"/>
  </si>
  <si>
    <t>点検・
計画
策定</t>
    <rPh sb="0" eb="2">
      <t>テンケン</t>
    </rPh>
    <rPh sb="4" eb="6">
      <t>ケイカク</t>
    </rPh>
    <rPh sb="7" eb="9">
      <t>サクテイ</t>
    </rPh>
    <phoneticPr fontId="3"/>
  </si>
  <si>
    <t>点検</t>
  </si>
  <si>
    <t>点検</t>
    <rPh sb="0" eb="2">
      <t>テンケン</t>
    </rPh>
    <phoneticPr fontId="3"/>
  </si>
  <si>
    <t>遊休農地等の発生状況の把握</t>
    <rPh sb="0" eb="2">
      <t>ユウキュウ</t>
    </rPh>
    <rPh sb="2" eb="4">
      <t>ノウチ</t>
    </rPh>
    <rPh sb="4" eb="5">
      <t>トウ</t>
    </rPh>
    <rPh sb="6" eb="8">
      <t>ハッセイ</t>
    </rPh>
    <rPh sb="8" eb="10">
      <t>ジョウキョウ</t>
    </rPh>
    <rPh sb="11" eb="13">
      <t>ハアク</t>
    </rPh>
    <phoneticPr fontId="3"/>
  </si>
  <si>
    <t>施設の点検（水路、農道、ため池）</t>
    <rPh sb="0" eb="2">
      <t>シセツ</t>
    </rPh>
    <rPh sb="3" eb="5">
      <t>テンケン</t>
    </rPh>
    <rPh sb="6" eb="8">
      <t>スイロ</t>
    </rPh>
    <rPh sb="9" eb="11">
      <t>ノウドウ</t>
    </rPh>
    <rPh sb="14" eb="15">
      <t>イケ</t>
    </rPh>
    <phoneticPr fontId="3"/>
  </si>
  <si>
    <t>計画策定</t>
    <rPh sb="0" eb="2">
      <t>ケイカク</t>
    </rPh>
    <rPh sb="2" eb="4">
      <t>サクテイ</t>
    </rPh>
    <phoneticPr fontId="3"/>
  </si>
  <si>
    <t>年度活動計画の策定</t>
    <rPh sb="0" eb="2">
      <t>ネンド</t>
    </rPh>
    <rPh sb="2" eb="4">
      <t>カツドウ</t>
    </rPh>
    <rPh sb="4" eb="6">
      <t>ケイカク</t>
    </rPh>
    <rPh sb="7" eb="9">
      <t>サクテイ</t>
    </rPh>
    <phoneticPr fontId="3"/>
  </si>
  <si>
    <t>研修</t>
    <rPh sb="0" eb="2">
      <t>ケンシュウ</t>
    </rPh>
    <phoneticPr fontId="3"/>
  </si>
  <si>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</si>
  <si>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</si>
  <si>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実践活動</t>
    <rPh sb="0" eb="2">
      <t>ジッセン</t>
    </rPh>
    <rPh sb="2" eb="4">
      <t>カツドウ</t>
    </rPh>
    <phoneticPr fontId="3"/>
  </si>
  <si>
    <t>農用地</t>
    <rPh sb="1" eb="3">
      <t>ヨウチ</t>
    </rPh>
    <phoneticPr fontId="3"/>
  </si>
  <si>
    <t>遊休農地発生防止の
ための保全管理</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</si>
  <si>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</si>
  <si>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
草刈り</t>
    <rPh sb="0" eb="2">
      <t>ケイハン</t>
    </rPh>
    <rPh sb="3" eb="5">
      <t>ノリメン</t>
    </rPh>
    <rPh sb="6" eb="9">
      <t>ボウフウリン</t>
    </rPh>
    <rPh sb="11" eb="13">
      <t>クサカ</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</si>
  <si>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</si>
  <si>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</si>
  <si>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</si>
  <si>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</si>
  <si>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</si>
  <si>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t>
    <phoneticPr fontId="3"/>
  </si>
  <si>
    <t>水路の草刈り</t>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</si>
  <si>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</si>
  <si>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</si>
  <si>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phoneticPr fontId="3"/>
  </si>
  <si>
    <t>水路の泥上げ</t>
    <rPh sb="0" eb="2">
      <t>スイロ</t>
    </rPh>
    <rPh sb="3" eb="4">
      <t>ドロ</t>
    </rPh>
    <rPh sb="4" eb="5">
      <t>ア</t>
    </rPh>
    <phoneticPr fontId="3"/>
  </si>
  <si>
    <t>ポンプ吸水槽等の泥上げ</t>
    <rPh sb="3" eb="5">
      <t>キュウスイ</t>
    </rPh>
    <rPh sb="5" eb="6">
      <t>ソウ</t>
    </rPh>
    <rPh sb="6" eb="7">
      <t>トウ</t>
    </rPh>
    <rPh sb="8" eb="9">
      <t>ドロ</t>
    </rPh>
    <rPh sb="9" eb="10">
      <t>ア</t>
    </rPh>
    <phoneticPr fontId="3"/>
  </si>
  <si>
    <t>水路附帯施設の
保守管理</t>
    <rPh sb="0" eb="2">
      <t>スイロ</t>
    </rPh>
    <rPh sb="2" eb="4">
      <t>フタイ</t>
    </rPh>
    <rPh sb="4" eb="6">
      <t>シセツ</t>
    </rPh>
    <rPh sb="8" eb="10">
      <t>ホシュ</t>
    </rPh>
    <rPh sb="10" eb="12">
      <t>カンリ</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</si>
  <si>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</si>
  <si>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</si>
  <si>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</si>
  <si>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農道</t>
    <rPh sb="1" eb="2">
      <t>ミチ</t>
    </rPh>
    <phoneticPr fontId="3"/>
  </si>
  <si>
    <t>農道の草刈り</t>
    <rPh sb="0" eb="2">
      <t>ノウドウ</t>
    </rPh>
    <phoneticPr fontId="3"/>
  </si>
  <si>
    <t>路肩・法面の草刈り</t>
    <rPh sb="0" eb="2">
      <t>ロカタ</t>
    </rPh>
    <rPh sb="3" eb="5">
      <t>ノリメン</t>
    </rPh>
    <rPh sb="6" eb="8">
      <t>クサカ</t>
    </rPh>
    <phoneticPr fontId="3"/>
  </si>
  <si>
    <t>農道側溝の泥上げ</t>
    <rPh sb="0" eb="2">
      <t>ノウドウ</t>
    </rPh>
    <rPh sb="2" eb="4">
      <t>ソッコウ</t>
    </rPh>
    <phoneticPr fontId="3"/>
  </si>
  <si>
    <t>側溝の泥上げ</t>
    <rPh sb="0" eb="2">
      <t>ソッコウ</t>
    </rPh>
    <rPh sb="3" eb="4">
      <t>ドロ</t>
    </rPh>
    <rPh sb="4" eb="5">
      <t>ア</t>
    </rPh>
    <phoneticPr fontId="3"/>
  </si>
  <si>
    <t>路面の維持</t>
    <rPh sb="0" eb="2">
      <t>ロメン</t>
    </rPh>
    <rPh sb="3" eb="5">
      <t>イジ</t>
    </rPh>
    <phoneticPr fontId="3"/>
  </si>
  <si>
    <t>ため池の草刈り</t>
    <phoneticPr fontId="3"/>
  </si>
  <si>
    <t>ため池の草刈り</t>
    <rPh sb="2" eb="3">
      <t>イケ</t>
    </rPh>
    <rPh sb="4" eb="6">
      <t>クサカ</t>
    </rPh>
    <phoneticPr fontId="3"/>
  </si>
  <si>
    <t>ため池の泥上げ</t>
    <phoneticPr fontId="3"/>
  </si>
  <si>
    <t>ため池の泥上げ</t>
    <rPh sb="2" eb="3">
      <t>イケ</t>
    </rPh>
    <rPh sb="4" eb="5">
      <t>ドロ</t>
    </rPh>
    <rPh sb="5" eb="6">
      <t>ア</t>
    </rPh>
    <phoneticPr fontId="3"/>
  </si>
  <si>
    <t>ため池附帯施設の
保守管理</t>
    <rPh sb="2" eb="3">
      <t>イケ</t>
    </rPh>
    <rPh sb="3" eb="5">
      <t>フタイ</t>
    </rPh>
    <rPh sb="5" eb="7">
      <t>シセツ</t>
    </rPh>
    <rPh sb="9" eb="11">
      <t>ホシュ</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</si>
  <si>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</si>
  <si>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</si>
  <si>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</si>
  <si>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共通</t>
    <rPh sb="0" eb="2">
      <t>キョウツウ</t>
    </rPh>
    <phoneticPr fontId="3"/>
  </si>
  <si>
    <t>異常気象時の対応</t>
    <rPh sb="0" eb="2">
      <t>イジョウ</t>
    </rPh>
    <rPh sb="2" eb="5">
      <t>キショウジ</t>
    </rPh>
    <rPh sb="6" eb="8">
      <t>タイオウ</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</si>
  <si>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</si>
  <si>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</si>
  <si>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（地域資源の適切な保全管理のための推進活動）</t>
    <phoneticPr fontId="3"/>
  </si>
  <si>
    <t>１（農地維持）</t>
    <rPh sb="2" eb="4">
      <t>ノウチ</t>
    </rPh>
    <rPh sb="4" eb="6">
      <t>イジ</t>
    </rPh>
    <phoneticPr fontId="3"/>
  </si>
  <si>
    <t>推進活動</t>
    <phoneticPr fontId="3"/>
  </si>
  <si>
    <t>農業者の検討会の開催</t>
    <phoneticPr fontId="3"/>
  </si>
  <si>
    <t>農業者（入り作農家、土地持ち非農家を含む）による検討会の開催</t>
  </si>
  <si>
    <t>農業者に対する意向調査、現地調査</t>
    <phoneticPr fontId="3"/>
  </si>
  <si>
    <t>農業者に対する意向調査、農業者による現地調査</t>
    <phoneticPr fontId="3"/>
  </si>
  <si>
    <t>不在村地主との連絡体制の整備等</t>
    <rPh sb="14" eb="15">
      <t>トウ</t>
    </rPh>
    <phoneticPr fontId="3"/>
  </si>
  <si>
    <t>不在村地主との連絡体制の整備、調整、それに必要な調査</t>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</si>
  <si>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</si>
  <si>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地域住民等（集落外の住民・組織等も含む）との意見交換・ワークショップ・交流会の開催</t>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</si>
  <si>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</si>
  <si>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地域住民等に対する意向調査、地域住民等との集落内調査</t>
    <phoneticPr fontId="3"/>
  </si>
  <si>
    <t>有識者等による研修会、検討会の開催</t>
    <phoneticPr fontId="3"/>
  </si>
  <si>
    <t>有識者等による研修会、有識者を交えた検討会の開催</t>
    <phoneticPr fontId="3"/>
  </si>
  <si>
    <t>-</t>
    <phoneticPr fontId="3"/>
  </si>
  <si>
    <t>【資源向上活動（地域資源の質的向上を図る共同活動）】</t>
    <phoneticPr fontId="3"/>
  </si>
  <si>
    <t>（施設の軽微な補修）</t>
    <phoneticPr fontId="3"/>
  </si>
  <si>
    <t>２（資源向上）</t>
    <rPh sb="2" eb="4">
      <t>シゲン</t>
    </rPh>
    <rPh sb="4" eb="6">
      <t>コウジョウ</t>
    </rPh>
    <phoneticPr fontId="3"/>
  </si>
  <si>
    <t>機能診断・
計画策定</t>
    <rPh sb="0" eb="2">
      <t>キノウ</t>
    </rPh>
    <rPh sb="2" eb="4">
      <t>シンダン</t>
    </rPh>
    <rPh sb="6" eb="8">
      <t>ケイカク</t>
    </rPh>
    <rPh sb="8" eb="10">
      <t>サクテイ</t>
    </rPh>
    <phoneticPr fontId="3"/>
  </si>
  <si>
    <t>機能診断</t>
  </si>
  <si>
    <t>農用地の機能診断</t>
    <rPh sb="4" eb="6">
      <t>キノウ</t>
    </rPh>
    <rPh sb="6" eb="8">
      <t>シンダン</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</si>
  <si>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</si>
  <si>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</si>
  <si>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水路の機能診断</t>
    <rPh sb="3" eb="5">
      <t>キノウ</t>
    </rPh>
    <rPh sb="5" eb="7">
      <t>シンダン</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</si>
  <si>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</si>
  <si>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</si>
  <si>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農道の機能診断</t>
    <rPh sb="3" eb="5">
      <t>キノウ</t>
    </rPh>
    <rPh sb="5" eb="7">
      <t>シンダン</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</si>
  <si>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</si>
  <si>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</si>
  <si>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ため池の機能診断</t>
    <rPh sb="4" eb="6">
      <t>キノウ</t>
    </rPh>
    <rPh sb="6" eb="8">
      <t>シンダン</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</si>
  <si>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</si>
  <si>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</si>
  <si>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</si>
  <si>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</si>
  <si>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</si>
  <si>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</si>
  <si>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農用地</t>
    <rPh sb="0" eb="3">
      <t>ノウヨウチ</t>
    </rPh>
    <phoneticPr fontId="3"/>
  </si>
  <si>
    <t>農用地の軽微な補修等</t>
    <rPh sb="0" eb="3">
      <t>ノウヨウチ</t>
    </rPh>
    <rPh sb="4" eb="6">
      <t>ケイビ</t>
    </rPh>
    <rPh sb="7" eb="9">
      <t>ホシュウ</t>
    </rPh>
    <rPh sb="9" eb="10">
      <t>トウ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</si>
  <si>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</si>
  <si>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</si>
  <si>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</si>
  <si>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</si>
  <si>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</si>
  <si>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</si>
  <si>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</si>
  <si>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水路の軽微な補修等</t>
    <rPh sb="0" eb="2">
      <t>スイロ</t>
    </rPh>
    <rPh sb="3" eb="5">
      <t>ケイビ</t>
    </rPh>
    <rPh sb="6" eb="8">
      <t>ホシュウ</t>
    </rPh>
    <rPh sb="8" eb="9">
      <t>トウ</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</si>
  <si>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</si>
  <si>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</si>
  <si>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</si>
  <si>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</si>
  <si>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</si>
  <si>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</si>
  <si>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</si>
  <si>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</si>
  <si>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</si>
  <si>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</si>
  <si>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</si>
  <si>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</si>
  <si>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破損施設の補修（水路の附帯施設）</t>
    <rPh sb="0" eb="2">
      <t>ハソン</t>
    </rPh>
    <rPh sb="2" eb="4">
      <t>シセツ</t>
    </rPh>
    <rPh sb="5" eb="7">
      <t>ホシュウ</t>
    </rPh>
    <rPh sb="8" eb="10">
      <t>スイロ</t>
    </rPh>
    <rPh sb="11" eb="13">
      <t>フタイ</t>
    </rPh>
    <rPh sb="13" eb="15">
      <t>シセツ</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</si>
  <si>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</si>
  <si>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</si>
  <si>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遮光施設の補修等</t>
    <rPh sb="0" eb="2">
      <t>シャコウ</t>
    </rPh>
    <rPh sb="2" eb="4">
      <t>シセツ</t>
    </rPh>
    <rPh sb="5" eb="7">
      <t>ホシュウ</t>
    </rPh>
    <rPh sb="7" eb="8">
      <t>トウ</t>
    </rPh>
    <phoneticPr fontId="3"/>
  </si>
  <si>
    <t>農道の軽微な補修等</t>
    <rPh sb="3" eb="5">
      <t>ケイビ</t>
    </rPh>
    <rPh sb="6" eb="8">
      <t>ホシュウ</t>
    </rPh>
    <rPh sb="8" eb="9">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</si>
  <si>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</si>
  <si>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</si>
  <si>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</si>
  <si>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</si>
  <si>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</si>
  <si>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</si>
  <si>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</si>
  <si>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</si>
  <si>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ため池の軽微な補修等</t>
    <rPh sb="2" eb="3">
      <t>イケ</t>
    </rPh>
    <rPh sb="4" eb="6">
      <t>ケイビ</t>
    </rPh>
    <rPh sb="7" eb="9">
      <t>ホシュウ</t>
    </rPh>
    <rPh sb="9" eb="10">
      <t>トウ</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</si>
  <si>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</si>
  <si>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</si>
  <si>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</si>
  <si>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堤体侵食の早期補修</t>
    <rPh sb="0" eb="2">
      <t>テイタイ</t>
    </rPh>
    <rPh sb="2" eb="4">
      <t>シンショク</t>
    </rPh>
    <rPh sb="5" eb="7">
      <t>ソウキ</t>
    </rPh>
    <rPh sb="7" eb="9">
      <t>ホシュウ</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</si>
  <si>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</si>
  <si>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</si>
  <si>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</si>
  <si>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（農村環境保全活動）</t>
    <phoneticPr fontId="3"/>
  </si>
  <si>
    <t>活動項目</t>
    <rPh sb="0" eb="2">
      <t>カツドウ</t>
    </rPh>
    <rPh sb="2" eb="4">
      <t>コウモク</t>
    </rPh>
    <phoneticPr fontId="86"/>
  </si>
  <si>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</si>
  <si>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</si>
  <si>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</si>
  <si>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3"/>
  </si>
  <si>
    <t>水質保全</t>
  </si>
  <si>
    <t>水質保全計画、農地保全計画の策定</t>
    <rPh sb="7" eb="9">
      <t>ノウチ</t>
    </rPh>
    <rPh sb="9" eb="11">
      <t>ホゼン</t>
    </rPh>
    <rPh sb="11" eb="13">
      <t>ケイカク</t>
    </rPh>
    <rPh sb="14" eb="16">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</si>
  <si>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</si>
  <si>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</si>
  <si>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景観形成・
生活環境保全</t>
    <phoneticPr fontId="3"/>
  </si>
  <si>
    <t>景観形成計画、
生活環境保全計画の策定</t>
    <rPh sb="4" eb="6">
      <t>ケイカク</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</si>
  <si>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</si>
  <si>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</si>
  <si>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</si>
  <si>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</si>
  <si>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</si>
  <si>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</si>
  <si>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</si>
  <si>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3"/>
  </si>
  <si>
    <t>生物の生息状況の把握</t>
  </si>
  <si>
    <t>生物の生息状況の把握</t>
    <rPh sb="0" eb="2">
      <t>セイブツ</t>
    </rPh>
    <rPh sb="3" eb="5">
      <t>セイソク</t>
    </rPh>
    <rPh sb="5" eb="7">
      <t>ジョウキョウ</t>
    </rPh>
    <rPh sb="8" eb="10">
      <t>ハアク</t>
    </rPh>
    <phoneticPr fontId="3"/>
  </si>
  <si>
    <t>外来種の駆除</t>
  </si>
  <si>
    <t>外来種の駆除</t>
    <rPh sb="0" eb="3">
      <t>ガイライシュ</t>
    </rPh>
    <rPh sb="4" eb="6">
      <t>クジョ</t>
    </rPh>
    <phoneticPr fontId="3"/>
  </si>
  <si>
    <t>その他（生態系保全）</t>
    <rPh sb="2" eb="3">
      <t>タ</t>
    </rPh>
    <rPh sb="4" eb="7">
      <t>セイタイケイ</t>
    </rPh>
    <rPh sb="7" eb="9">
      <t>ホゼン</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</si>
  <si>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</si>
  <si>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</si>
  <si>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</si>
  <si>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</si>
  <si>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</si>
  <si>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水質保全</t>
    <rPh sb="0" eb="2">
      <t>スイシツ</t>
    </rPh>
    <rPh sb="2" eb="4">
      <t>ホゼン</t>
    </rPh>
    <phoneticPr fontId="3"/>
  </si>
  <si>
    <t>水質モニタリングの実施・記録管理</t>
  </si>
  <si>
    <t>水質モニタリングの実施・記録管理</t>
    <rPh sb="0" eb="2">
      <t>スイシツ</t>
    </rPh>
    <rPh sb="9" eb="11">
      <t>ジッシ</t>
    </rPh>
    <rPh sb="12" eb="14">
      <t>キロク</t>
    </rPh>
    <rPh sb="14" eb="16">
      <t>カンリ</t>
    </rPh>
    <phoneticPr fontId="3"/>
  </si>
  <si>
    <t>畑からの土砂流出対策</t>
    <rPh sb="0" eb="1">
      <t>ハタケ</t>
    </rPh>
    <rPh sb="4" eb="6">
      <t>ドシャ</t>
    </rPh>
    <rPh sb="6" eb="8">
      <t>リュウシュツ</t>
    </rPh>
    <rPh sb="8" eb="10">
      <t>タイサク</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</si>
  <si>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</si>
  <si>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沈砂池の適正管理</t>
    <rPh sb="0" eb="1">
      <t>チン</t>
    </rPh>
    <rPh sb="1" eb="2">
      <t>サ</t>
    </rPh>
    <rPh sb="2" eb="3">
      <t>イケ</t>
    </rPh>
    <rPh sb="4" eb="6">
      <t>テキセイ</t>
    </rPh>
    <rPh sb="6" eb="8">
      <t>カンリ</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</si>
  <si>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</si>
  <si>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その他（水質保全）</t>
    <rPh sb="2" eb="3">
      <t>タ</t>
    </rPh>
    <rPh sb="4" eb="6">
      <t>スイシツ</t>
    </rPh>
    <rPh sb="6" eb="8">
      <t>ホゼン</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</si>
  <si>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</si>
  <si>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水田からの排水（濁水）管理</t>
    <rPh sb="0" eb="2">
      <t>スイデン</t>
    </rPh>
    <rPh sb="5" eb="7">
      <t>ハイスイ</t>
    </rPh>
    <rPh sb="8" eb="10">
      <t>ダクスイ</t>
    </rPh>
    <rPh sb="11" eb="13">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</si>
  <si>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</si>
  <si>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</si>
  <si>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管理作業の省力化による水資源の保全</t>
    <rPh sb="0" eb="2">
      <t>カンリ</t>
    </rPh>
    <rPh sb="2" eb="4">
      <t>サギョウ</t>
    </rPh>
    <rPh sb="5" eb="8">
      <t>ショウリョクカ</t>
    </rPh>
    <rPh sb="11" eb="14">
      <t>ミズシゲン</t>
    </rPh>
    <rPh sb="15" eb="17">
      <t>ホゼン</t>
    </rPh>
    <phoneticPr fontId="3"/>
  </si>
  <si>
    <t>植栽等の景観形成活動</t>
    <rPh sb="0" eb="2">
      <t>ショクサイ</t>
    </rPh>
    <rPh sb="2" eb="3">
      <t>トウ</t>
    </rPh>
    <rPh sb="4" eb="6">
      <t>ケイカン</t>
    </rPh>
    <rPh sb="6" eb="8">
      <t>ケイセイ</t>
    </rPh>
    <rPh sb="8" eb="10">
      <t>カツドウ</t>
    </rPh>
    <phoneticPr fontId="3"/>
  </si>
  <si>
    <t>景観形成のための施設への植栽等</t>
    <rPh sb="0" eb="2">
      <t>ケイカン</t>
    </rPh>
    <rPh sb="2" eb="4">
      <t>ケイセイ</t>
    </rPh>
    <rPh sb="8" eb="10">
      <t>シセツ</t>
    </rPh>
    <rPh sb="12" eb="14">
      <t>ショクサイ</t>
    </rPh>
    <rPh sb="14" eb="15">
      <t>トウ</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</si>
  <si>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</si>
  <si>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</si>
  <si>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</si>
  <si>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</si>
  <si>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</si>
  <si>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</si>
  <si>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</si>
  <si>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水田の貯留機能向上活動</t>
  </si>
  <si>
    <t>水田の貯留機能向上活動</t>
    <rPh sb="0" eb="2">
      <t>スイデン</t>
    </rPh>
    <rPh sb="3" eb="5">
      <t>チョリュウ</t>
    </rPh>
    <rPh sb="5" eb="7">
      <t>キノウ</t>
    </rPh>
    <rPh sb="7" eb="9">
      <t>コウジョウ</t>
    </rPh>
    <rPh sb="9" eb="11">
      <t>カツドウ</t>
    </rPh>
    <phoneticPr fontId="3"/>
  </si>
  <si>
    <t>水田の地下水かん養機能向上活動、
水源かん養林の保全</t>
    <rPh sb="17" eb="19">
      <t>スイゲン</t>
    </rPh>
    <rPh sb="21" eb="22">
      <t>ヨウ</t>
    </rPh>
    <rPh sb="22" eb="23">
      <t>ハヤシ</t>
    </rPh>
    <rPh sb="24" eb="26">
      <t>ホゼン</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</si>
  <si>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</si>
  <si>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</si>
  <si>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</si>
  <si>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3"/>
  </si>
  <si>
    <t>啓発・普及</t>
    <rPh sb="0" eb="2">
      <t>ケイハツ</t>
    </rPh>
    <rPh sb="3" eb="5">
      <t>フキュウ</t>
    </rPh>
    <phoneticPr fontId="3"/>
  </si>
  <si>
    <t>啓発・普及活動</t>
    <rPh sb="0" eb="2">
      <t>ケイハツ</t>
    </rPh>
    <rPh sb="3" eb="5">
      <t>フキュウ</t>
    </rPh>
    <rPh sb="5" eb="7">
      <t>カツドウ</t>
    </rPh>
    <phoneticPr fontId="3"/>
  </si>
  <si>
    <t>広報活動</t>
    <rPh sb="0" eb="2">
      <t>コウホウ</t>
    </rPh>
    <rPh sb="2" eb="4">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</si>
  <si>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</si>
  <si>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</si>
  <si>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</si>
  <si>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</si>
  <si>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</si>
  <si>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（多面的機能の増進を図る活動）</t>
    <phoneticPr fontId="3"/>
  </si>
  <si>
    <t>増進活動</t>
    <phoneticPr fontId="3"/>
  </si>
  <si>
    <t>遊休農地の有効活用</t>
  </si>
  <si>
    <t>遊休農地の有効活用</t>
    <rPh sb="0" eb="2">
      <t>ユウキュウ</t>
    </rPh>
    <rPh sb="2" eb="4">
      <t>ノウチ</t>
    </rPh>
    <rPh sb="5" eb="7">
      <t>ユウコウ</t>
    </rPh>
    <rPh sb="7" eb="9">
      <t>カツヨウ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</si>
  <si>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</si>
  <si>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農地周りの共同活動の強化</t>
    <rPh sb="0" eb="2">
      <t>ノウチ</t>
    </rPh>
    <rPh sb="2" eb="3">
      <t>マワ</t>
    </rPh>
    <rPh sb="5" eb="7">
      <t>キョウドウ</t>
    </rPh>
    <rPh sb="7" eb="9">
      <t>カツドウ</t>
    </rPh>
    <rPh sb="10" eb="12">
      <t>キョウカ</t>
    </rPh>
    <phoneticPr fontId="3"/>
  </si>
  <si>
    <t>地域住民による直営施工</t>
  </si>
  <si>
    <t>地域住民による直営施工</t>
    <rPh sb="0" eb="2">
      <t>チイキ</t>
    </rPh>
    <rPh sb="2" eb="4">
      <t>ジュウミン</t>
    </rPh>
    <rPh sb="7" eb="9">
      <t>チョクエイ</t>
    </rPh>
    <rPh sb="9" eb="11">
      <t>セコウ</t>
    </rPh>
    <phoneticPr fontId="3"/>
  </si>
  <si>
    <t>防災・減災力の強化</t>
  </si>
  <si>
    <t>防災・減災力の強化</t>
    <rPh sb="0" eb="2">
      <t>ボウサイ</t>
    </rPh>
    <rPh sb="3" eb="5">
      <t>ゲンサイ</t>
    </rPh>
    <rPh sb="5" eb="6">
      <t>リョク</t>
    </rPh>
    <rPh sb="7" eb="9">
      <t>キョウカ</t>
    </rPh>
    <phoneticPr fontId="3"/>
  </si>
  <si>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</si>
  <si>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3"/>
  </si>
  <si>
    <t>やすらぎ・福祉及び教育機能の活用</t>
    <phoneticPr fontId="86"/>
  </si>
  <si>
    <t>医療・福祉との連携</t>
    <rPh sb="0" eb="2">
      <t>イリョウ</t>
    </rPh>
    <rPh sb="3" eb="5">
      <t>フクシ</t>
    </rPh>
    <rPh sb="7" eb="9">
      <t>レンケイ</t>
    </rPh>
    <phoneticPr fontId="3"/>
  </si>
  <si>
    <t>農村文化の伝承を通じた
農村コミュニティの強化</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</si>
  <si>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</si>
  <si>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都道府県、市町村が特に認める活動</t>
    <rPh sb="0" eb="4">
      <t>トドウフケン</t>
    </rPh>
    <rPh sb="5" eb="8">
      <t>シチョウソン</t>
    </rPh>
    <rPh sb="9" eb="10">
      <t>トク</t>
    </rPh>
    <rPh sb="11" eb="12">
      <t>ミト</t>
    </rPh>
    <rPh sb="14" eb="16">
      <t>カツドウ</t>
    </rPh>
    <phoneticPr fontId="3"/>
  </si>
  <si>
    <t>広報活動・農的関係人口の拡大</t>
    <rPh sb="0" eb="2">
      <t>コウホウ</t>
    </rPh>
    <rPh sb="2" eb="4">
      <t>カツドウ</t>
    </rPh>
    <rPh sb="5" eb="11">
      <t>ノウテキカンケイジンコウ</t>
    </rPh>
    <rPh sb="12" eb="14">
      <t>カクダイ</t>
    </rPh>
    <phoneticPr fontId="3"/>
  </si>
  <si>
    <t>【資源向上活動（施設の長寿命化のための活動）】</t>
    <rPh sb="8" eb="10">
      <t>シセツ</t>
    </rPh>
    <rPh sb="11" eb="15">
      <t>チョウジュミョウカ</t>
    </rPh>
    <phoneticPr fontId="3"/>
  </si>
  <si>
    <t>３（長寿命化）</t>
    <rPh sb="2" eb="6">
      <t>チョウジュミョウカ</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</si>
  <si>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</si>
  <si>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</si>
  <si>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</si>
  <si>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</si>
  <si>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</si>
  <si>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</si>
  <si>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</si>
  <si>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水路の更新等</t>
    <rPh sb="0" eb="2">
      <t>スイロ</t>
    </rPh>
    <rPh sb="3" eb="5">
      <t>コウシン</t>
    </rPh>
    <rPh sb="5" eb="6">
      <t>トウ</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</si>
  <si>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</si>
  <si>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</si>
  <si>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</si>
  <si>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</si>
  <si>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</si>
  <si>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</si>
  <si>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農道側溝の補修</t>
    <rPh sb="0" eb="2">
      <t>ノウドウ</t>
    </rPh>
    <rPh sb="2" eb="4">
      <t>ソッコウ</t>
    </rPh>
    <rPh sb="5" eb="7">
      <t>ホシュウ</t>
    </rPh>
    <phoneticPr fontId="3"/>
  </si>
  <si>
    <t>農道の更新等</t>
    <rPh sb="0" eb="2">
      <t>ノウドウ</t>
    </rPh>
    <rPh sb="3" eb="5">
      <t>コウシン</t>
    </rPh>
    <rPh sb="5" eb="6">
      <t>トウ</t>
    </rPh>
    <phoneticPr fontId="3"/>
  </si>
  <si>
    <t>未舗装農道を舗装（砂利、コンクリート、アスファルト）</t>
    <rPh sb="0" eb="1">
      <t>ミ</t>
    </rPh>
    <rPh sb="1" eb="3">
      <t>ホソウ</t>
    </rPh>
    <rPh sb="3" eb="5">
      <t>ノウドウ</t>
    </rPh>
    <rPh sb="6" eb="8">
      <t>ホソウ</t>
    </rPh>
    <rPh sb="9" eb="11">
      <t>ジャリ</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</si>
  <si>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</si>
  <si>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</si>
  <si>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ため池の補修</t>
    <rPh sb="2" eb="3">
      <t>イケ</t>
    </rPh>
    <rPh sb="4" eb="6">
      <t>ホシュウ</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</si>
  <si>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</si>
  <si>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</si>
  <si>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</si>
  <si>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</si>
  <si>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ため池（附帯施設）の更新等</t>
    <rPh sb="2" eb="3">
      <t>イケ</t>
    </rPh>
    <rPh sb="4" eb="6">
      <t>フタイ</t>
    </rPh>
    <rPh sb="6" eb="8">
      <t>シセツ</t>
    </rPh>
    <rPh sb="10" eb="12">
      <t>コウシン</t>
    </rPh>
    <rPh sb="12" eb="13">
      <t>トウ</t>
    </rPh>
    <phoneticPr fontId="3"/>
  </si>
  <si>
    <t>ゲート・バルブの更新</t>
    <rPh sb="8" eb="10">
      <t>コウシン</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</si>
  <si>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</si>
  <si>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</si>
  <si>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</si>
  <si>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</si>
  <si>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</si>
  <si>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</si>
  <si>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</si>
  <si>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</si>
  <si>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</si>
  <si>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</si>
  <si>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</si>
  <si>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</si>
  <si>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</si>
  <si>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</si>
  <si>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</si>
  <si>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</si>
  <si>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</si>
  <si>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</si>
  <si>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</si>
  <si>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</si>
  <si>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</si>
  <si>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</si>
  <si>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</si>
  <si>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</si>
  <si>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</si>
  <si>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</si>
  <si>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</si>
  <si>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</si>
  <si>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</si>
  <si>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</si>
  <si>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</si>
  <si>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</si>
  <si>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</si>
  <si>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</si>
  <si>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</si>
  <si>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</si>
  <si>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</si>
  <si>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</si>
  <si>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</si>
  <si>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</si>
  <si>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</si>
  <si>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</si>
  <si>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</si>
  <si>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</si>
  <si>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農地維持</t>
    <rPh sb="0" eb="2">
      <t>ノウチ</t>
    </rPh>
    <rPh sb="2" eb="4">
      <t>イジ</t>
    </rPh>
    <phoneticPr fontId="3"/>
  </si>
  <si>
    <t>点検・計画策定</t>
    <rPh sb="0" eb="2">
      <t>テンケン</t>
    </rPh>
    <rPh sb="3" eb="5">
      <t>ケイカク</t>
    </rPh>
    <rPh sb="5" eb="7">
      <t>サクテイ</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</si>
  <si>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</si>
  <si>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</si>
  <si>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</si>
  <si>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</si>
  <si>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</si>
  <si>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</si>
  <si>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</si>
  <si>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</si>
  <si>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</si>
  <si>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3 事務・組織運営等に関する研修、機械の安全使用に関する研修</t>
    <phoneticPr fontId="86"/>
  </si>
  <si>
    <t>水環境の回復</t>
    <rPh sb="0" eb="3">
      <t>ミズカンキョウ</t>
    </rPh>
    <rPh sb="4" eb="6">
      <t>カイフク</t>
    </rPh>
    <phoneticPr fontId="2"/>
  </si>
  <si>
    <t>７.女性会</t>
    <rPh sb="2" eb="5">
      <t>ジョセイカイ</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</si>
  <si>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</si>
  <si>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</si>
  <si>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</si>
  <si>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</si>
  <si>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</si>
  <si>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</si>
  <si>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</si>
  <si>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</si>
  <si>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</si>
  <si>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</si>
  <si>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</si>
  <si>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</si>
  <si>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</si>
  <si>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</si>
  <si>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</si>
  <si>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</si>
  <si>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</si>
  <si>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</si>
  <si>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</si>
  <si>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</si>
  <si>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</si>
  <si>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</si>
  <si>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</si>
  <si>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</si>
  <si>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</si>
  <si>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</si>
  <si>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</si>
  <si>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</si>
  <si>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</si>
  <si>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</si>
  <si>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</si>
  <si>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</si>
  <si>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</si>
  <si>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</si>
  <si>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</si>
  <si>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</si>
  <si>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</si>
  <si>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</si>
  <si>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</si>
  <si>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</si>
  <si>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</si>
  <si>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</si>
  <si>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</si>
  <si>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</si>
  <si>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</si>
  <si>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</si>
  <si>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</si>
  <si>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</si>
  <si>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</si>
  <si>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</si>
  <si>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</si>
  <si>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</si>
  <si>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</si>
  <si>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</si>
  <si>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</si>
  <si>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</si>
  <si>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</si>
  <si>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</si>
  <si>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</si>
  <si>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</si>
  <si>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</si>
  <si>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</si>
  <si>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</si>
  <si>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</si>
  <si>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</si>
  <si>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</si>
  <si>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</si>
  <si>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</si>
  <si>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</si>
  <si>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</si>
  <si>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</si>
  <si>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</si>
  <si>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</si>
  <si>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</si>
  <si>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</si>
  <si>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</si>
  <si>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</si>
  <si>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</si>
  <si>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</si>
  <si>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</si>
  <si>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</si>
  <si>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</si>
  <si>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</si>
  <si>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</si>
  <si>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</si>
  <si>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</si>
  <si>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</si>
  <si>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</si>
  <si>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</si>
  <si>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</si>
  <si>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</si>
  <si>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</si>
  <si>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</si>
  <si>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86"/>
  </si>
  <si>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</si>
  <si>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</si>
  <si>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</si>
  <si>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</si>
  <si>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</si>
  <si>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</si>
  <si>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</si>
  <si>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86"/>
  </si>
  <si>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</si>
  <si>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</si>
  <si>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</si>
  <si>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</si>
  <si>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</si>
  <si>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86"/>
  </si>
  <si>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</si>
  <si>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</si>
  <si>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</si>
  <si>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</si>
  <si>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</si>
  <si>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</si>
  <si>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</si>
  <si>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</si>
  <si>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</si>
  <si>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</si>
  <si>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</si>
  <si>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</si>
  <si>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</si>
  <si>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</si>
  <si>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</si>
  <si>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</si>
  <si>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</si>
  <si>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</si>
  <si>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</si>
  <si>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</si>
  <si>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</si>
  <si>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</si>
  <si>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</si>
  <si>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</si>
  <si>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</si>
  <si>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</si>
  <si>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</si>
  <si>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</si>
  <si>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</si>
  <si>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</si>
  <si>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</si>
  <si>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</si>
  <si>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</si>
  <si>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</si>
  <si>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</si>
  <si>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</si>
  <si>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</si>
  <si>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</si>
  <si>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</si>
  <si>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</si>
  <si>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</si>
  <si>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</si>
  <si>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</si>
  <si>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</si>
  <si>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</si>
  <si>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</si>
  <si>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</si>
  <si>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</si>
  <si>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</si>
  <si>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</si>
  <si>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</si>
  <si>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</si>
  <si>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</si>
  <si>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</si>
  <si>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</si>
  <si>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</si>
  <si>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</si>
  <si>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</si>
  <si>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</si>
  <si>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</si>
  <si>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</si>
  <si>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</si>
  <si>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</si>
  <si>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</si>
  <si>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</si>
  <si>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</si>
  <si>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</si>
  <si>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</si>
  <si>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</si>
  <si>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</si>
  <si>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</si>
  <si>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</si>
  <si>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</si>
  <si>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</si>
  <si>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</si>
  <si>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</si>
  <si>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</si>
  <si>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</si>
  <si>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</si>
  <si>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</si>
  <si>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</si>
  <si>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</si>
  <si>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</si>
  <si>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</si>
  <si>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</si>
  <si>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</si>
  <si>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</si>
  <si>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</si>
  <si>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</si>
  <si>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</si>
  <si>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</si>
  <si>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</si>
  <si>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</si>
  <si>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</si>
  <si>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</si>
  <si>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</si>
  <si>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</si>
  <si>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</si>
  <si>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</si>
  <si>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</si>
  <si>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</si>
  <si>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</si>
  <si>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</si>
  <si>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</si>
  <si>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</si>
  <si>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</si>
  <si>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</si>
  <si>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</si>
  <si>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</si>
  <si>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</si>
  <si>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</si>
  <si>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</si>
  <si>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</si>
  <si>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</si>
  <si>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</si>
  <si>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</si>
  <si>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</si>
  <si>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</si>
  <si>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</si>
  <si>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</si>
  <si>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</si>
  <si>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</si>
  <si>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</si>
  <si>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</si>
  <si>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</si>
  <si>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</si>
  <si>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多面的機能発揮促進事業に関する計画</t>
    <rPh sb="9" eb="11">
      <t>ジギョウ</t>
    </rPh>
    <phoneticPr fontId="136"/>
  </si>
  <si>
    <t>１ 多面的機能発揮促進事業の目標</t>
    <phoneticPr fontId="136"/>
  </si>
  <si>
    <t>１．現況</t>
    <rPh sb="2" eb="4">
      <t>ゲンキョウ</t>
    </rPh>
    <phoneticPr fontId="136"/>
  </si>
  <si>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</si>
  <si>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136"/>
  </si>
  <si>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</si>
  <si>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136"/>
  </si>
  <si>
    <t>　（１）多面的機能発揮促進事業の種類及び実施区域</t>
    <phoneticPr fontId="136"/>
  </si>
  <si>
    <t>　　① 種類（実施するものに○を付すこと。）</t>
    <phoneticPr fontId="136"/>
  </si>
  <si>
    <r>
      <t>１号事業</t>
    </r>
    <r>
      <rPr>
        <sz val="12"/>
        <color indexed="8"/>
        <rFont val="ＭＳ 明朝"/>
        <family val="1"/>
        <charset val="128"/>
      </rPr>
      <t>（多面的機能支払交付金）</t>
    </r>
    <phoneticPr fontId="136"/>
  </si>
  <si>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36"/>
  </si>
  <si>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36"/>
  </si>
  <si>
    <r>
      <t>２号事業</t>
    </r>
    <r>
      <rPr>
        <sz val="12"/>
        <color indexed="8"/>
        <rFont val="ＭＳ 明朝"/>
        <family val="1"/>
        <charset val="128"/>
      </rPr>
      <t>（中山間地域等直接支払交付金）</t>
    </r>
    <phoneticPr fontId="136"/>
  </si>
  <si>
    <r>
      <t>３号事業</t>
    </r>
    <r>
      <rPr>
        <sz val="12"/>
        <color indexed="8"/>
        <rFont val="ＭＳ 明朝"/>
        <family val="1"/>
        <charset val="128"/>
      </rPr>
      <t>（環境保全型農業直接支払交付金）</t>
    </r>
    <phoneticPr fontId="136"/>
  </si>
  <si>
    <r>
      <t>４号事業</t>
    </r>
    <r>
      <rPr>
        <sz val="12"/>
        <color indexed="8"/>
        <rFont val="ＭＳ 明朝"/>
        <family val="1"/>
        <charset val="128"/>
      </rPr>
      <t>（その他農業の有する多面的機能の発揮の促進に資する事業）</t>
    </r>
    <phoneticPr fontId="136"/>
  </si>
  <si>
    <t>　　② 実施区域</t>
    <phoneticPr fontId="136"/>
  </si>
  <si>
    <t>　（２）活動の内容等</t>
    <rPh sb="4" eb="6">
      <t>カツドウ</t>
    </rPh>
    <rPh sb="7" eb="9">
      <t>ナイヨウ</t>
    </rPh>
    <rPh sb="9" eb="10">
      <t>トウ</t>
    </rPh>
    <phoneticPr fontId="136"/>
  </si>
  <si>
    <t>　　②２号事業</t>
    <rPh sb="4" eb="5">
      <t>ゴウ</t>
    </rPh>
    <rPh sb="5" eb="7">
      <t>ジギョウ</t>
    </rPh>
    <phoneticPr fontId="136"/>
  </si>
  <si>
    <t xml:space="preserve">  　 １）農業生産活動の内容</t>
    <rPh sb="6" eb="8">
      <t>ノウギョウ</t>
    </rPh>
    <rPh sb="8" eb="10">
      <t>セイサン</t>
    </rPh>
    <rPh sb="10" eb="12">
      <t>カツドウ</t>
    </rPh>
    <rPh sb="13" eb="15">
      <t>ナイヨウ</t>
    </rPh>
    <phoneticPr fontId="136"/>
  </si>
  <si>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36"/>
  </si>
  <si>
    <t>３ 多面的機能発揮促進事業の実施期間</t>
  </si>
  <si>
    <t>４ 農業者団体等の構成員に係る事項</t>
  </si>
  <si>
    <t>✓</t>
    <phoneticPr fontId="3"/>
  </si>
  <si>
    <t>あいうえおかつどうそしき</t>
    <phoneticPr fontId="3"/>
  </si>
  <si>
    <t>ちゅうさんかん　たろう</t>
    <phoneticPr fontId="3"/>
  </si>
  <si>
    <t>まるけんさんかくしまるちょう</t>
    <phoneticPr fontId="3"/>
  </si>
  <si>
    <t>　１　交付金は、集落を代表して</t>
    <phoneticPr fontId="3"/>
  </si>
  <si>
    <t>〇〇 〇〇（氏名）</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</si>
  <si>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</si>
  <si>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</si>
  <si>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</si>
  <si>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</si>
  <si>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</si>
  <si>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</si>
  <si>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3"/>
  </si>
  <si>
    <t>　令和７年度において、早期交付を受けた交付金を有効に活用するとともに、事業計画の作成及び計画に基づく活動に取り組むことを誓約します。</t>
    <phoneticPr fontId="3"/>
  </si>
  <si>
    <t>殿</t>
    <rPh sb="0" eb="1">
      <t>ドノ</t>
    </rPh>
    <phoneticPr fontId="3"/>
  </si>
  <si>
    <t>○○地区水利組合</t>
    <rPh sb="2" eb="4">
      <t>チク</t>
    </rPh>
    <rPh sb="4" eb="8">
      <t>スイリクミアイ</t>
    </rPh>
    <phoneticPr fontId="3"/>
  </si>
  <si>
    <t>代表者
○○○○</t>
    <rPh sb="0" eb="3">
      <t>ダイヒョウシャ</t>
    </rPh>
    <phoneticPr fontId="3"/>
  </si>
  <si>
    <t>○○地区水利組合規程による</t>
    <rPh sb="2" eb="8">
      <t>チクスイリクミアイ</t>
    </rPh>
    <rPh sb="8" eb="10">
      <t>キテイ</t>
    </rPh>
    <phoneticPr fontId="3"/>
  </si>
  <si>
    <t>○○集落申し合わせ事項による</t>
    <rPh sb="2" eb="4">
      <t>シュウラク</t>
    </rPh>
    <rPh sb="4" eb="5">
      <t>モウ</t>
    </rPh>
    <rPh sb="6" eb="7">
      <t>ア</t>
    </rPh>
    <rPh sb="9" eb="11">
      <t>ジコウ</t>
    </rPh>
    <phoneticPr fontId="3"/>
  </si>
  <si>
    <t>市町村長　</t>
    <rPh sb="0" eb="4">
      <t>シチョウソンチョウ</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</si>
  <si>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</si>
  <si>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</si>
  <si>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</si>
  <si>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</si>
  <si>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</si>
  <si>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</si>
  <si>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</si>
  <si>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</si>
  <si>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</si>
  <si>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</si>
  <si>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</si>
  <si>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</si>
  <si>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</si>
  <si>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</si>
  <si>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</si>
  <si>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</si>
  <si>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</si>
  <si>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</si>
  <si>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畦塗り機購入</t>
    <rPh sb="1" eb="2">
      <t>ヌリ</t>
    </rPh>
    <rPh sb="3" eb="4">
      <t>キ</t>
    </rPh>
    <rPh sb="4" eb="6">
      <t>コウニュウ</t>
    </rPh>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</si>
  <si>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</si>
  <si>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</si>
  <si>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</si>
  <si>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</si>
  <si>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</si>
  <si>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</si>
  <si>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</si>
  <si>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</si>
  <si>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</si>
  <si>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</si>
  <si>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</si>
  <si>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</si>
  <si>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</si>
  <si>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</si>
  <si>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</si>
  <si>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</si>
  <si>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</si>
  <si>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</si>
  <si>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</si>
  <si>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</si>
  <si>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</si>
  <si>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</si>
  <si>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</si>
  <si>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</si>
  <si>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</si>
  <si>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</si>
  <si>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</si>
  <si>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</si>
  <si>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</si>
  <si>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</si>
  <si>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</si>
  <si>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</si>
  <si>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</si>
  <si>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</si>
  <si>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</si>
  <si>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</si>
  <si>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</si>
  <si>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</si>
  <si>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</si>
  <si>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</si>
  <si>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</si>
  <si>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</si>
  <si>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</si>
  <si>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</si>
  <si>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</si>
  <si>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</si>
  <si>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</si>
  <si>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</si>
  <si>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</si>
  <si>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</si>
  <si>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</si>
  <si>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</si>
  <si>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</si>
  <si>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</si>
  <si>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</si>
  <si>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</si>
  <si>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</si>
  <si>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</si>
  <si>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</si>
  <si>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</si>
  <si>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</si>
  <si>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</si>
  <si>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</si>
  <si>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</si>
  <si>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</si>
  <si>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</si>
  <si>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</si>
  <si>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</si>
  <si>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</si>
  <si>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</si>
  <si>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</si>
  <si>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</si>
  <si>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</si>
  <si>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</si>
  <si>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</si>
  <si>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</si>
  <si>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</si>
  <si>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</si>
  <si>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</si>
  <si>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</si>
  <si>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</si>
  <si>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</si>
  <si>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</si>
  <si>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</si>
  <si>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</si>
  <si>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</si>
  <si>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</si>
  <si>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</si>
  <si>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</si>
  <si>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</si>
  <si>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</si>
  <si>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</si>
  <si>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</si>
  <si>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</si>
  <si>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</si>
  <si>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</si>
  <si>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</si>
  <si>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</si>
  <si>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</si>
  <si>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</si>
  <si>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</si>
  <si>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</si>
  <si>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</si>
  <si>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</si>
  <si>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</si>
  <si>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</si>
  <si>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</si>
  <si>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</si>
  <si>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</si>
  <si>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</si>
  <si>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</si>
  <si>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</si>
  <si>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</si>
  <si>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</si>
  <si>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</si>
  <si>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</si>
  <si>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</si>
  <si>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</si>
  <si>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</si>
  <si>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</si>
  <si>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</si>
  <si>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</si>
  <si>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</si>
  <si>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</si>
  <si>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</si>
  <si>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</si>
  <si>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</si>
  <si>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</si>
  <si>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</si>
  <si>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</si>
  <si>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</si>
  <si>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</si>
  <si>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</si>
  <si>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</si>
  <si>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</si>
  <si>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</si>
  <si>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</si>
  <si>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</si>
  <si>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</si>
  <si>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</si>
  <si>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</si>
  <si>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</si>
  <si>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</si>
  <si>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</si>
  <si>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</si>
  <si>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</si>
  <si>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</si>
  <si>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</si>
  <si>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</si>
  <si>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</si>
  <si>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</si>
  <si>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</si>
  <si>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</si>
  <si>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</si>
  <si>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</si>
  <si>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</si>
  <si>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</si>
  <si>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</si>
  <si>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</si>
  <si>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</si>
  <si>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</si>
  <si>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</si>
  <si>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</si>
  <si>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86"/>
  </si>
  <si>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86"/>
  </si>
  <si>
    <t>④その他（</t>
    <rPh sb="3" eb="4">
      <t>タ</t>
    </rPh>
    <phoneticPr fontId="86"/>
  </si>
  <si>
    <t>　　　）</t>
    <phoneticPr fontId="3"/>
  </si>
  <si>
    <t>⑥その他（</t>
    <rPh sb="3" eb="4">
      <t>タ</t>
    </rPh>
    <phoneticPr fontId="86"/>
  </si>
  <si>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</si>
  <si>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6"/>
  </si>
  <si>
    <t>農作業機械の老朽化及びオペレーターの不足</t>
    <phoneticPr fontId="3"/>
  </si>
  <si>
    <t>統合で解決しようとする課題</t>
    <rPh sb="0" eb="2">
      <t>トウゴウ</t>
    </rPh>
    <rPh sb="3" eb="5">
      <t>カイケツ</t>
    </rPh>
    <rPh sb="11" eb="13">
      <t>カダイ</t>
    </rPh>
    <phoneticPr fontId="3"/>
  </si>
  <si>
    <t>農作業機械のオペレーターの確保</t>
    <rPh sb="0" eb="3">
      <t>ノウサギョウ</t>
    </rPh>
    <rPh sb="3" eb="5">
      <t>キカイ</t>
    </rPh>
    <rPh sb="13" eb="15">
      <t>カクホ</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</si>
  <si>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6"/>
  </si>
  <si>
    <t>棚田の荒廃</t>
    <rPh sb="0" eb="2">
      <t>タナダ</t>
    </rPh>
    <rPh sb="3" eb="5">
      <t>コウハイ</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</si>
  <si>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6"/>
  </si>
  <si>
    <t>棚田資源を活かした振興活動</t>
    <rPh sb="0" eb="4">
      <t>タナダシゲン</t>
    </rPh>
    <rPh sb="5" eb="6">
      <t>イ</t>
    </rPh>
    <rPh sb="9" eb="13">
      <t>シンコウカツドウ</t>
    </rPh>
    <phoneticPr fontId="3"/>
  </si>
  <si>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</si>
  <si>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</si>
  <si>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</si>
  <si>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</si>
  <si>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</si>
  <si>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</si>
  <si>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</si>
  <si>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</si>
  <si>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</si>
  <si>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</si>
  <si>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</si>
  <si>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</si>
  <si>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</si>
  <si>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</si>
  <si>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</si>
  <si>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</si>
  <si>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</si>
  <si>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</si>
  <si>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</si>
  <si>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</si>
  <si>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</si>
  <si>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</si>
  <si>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</si>
  <si>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</si>
  <si>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</si>
  <si>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</si>
  <si>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</si>
  <si>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</si>
  <si>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</si>
  <si>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</si>
  <si>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</si>
  <si>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</si>
  <si>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</si>
  <si>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</si>
  <si>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</si>
  <si>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</si>
  <si>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</si>
  <si>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</si>
  <si>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</si>
  <si>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</si>
  <si>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</si>
  <si>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</si>
  <si>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</si>
  <si>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</si>
  <si>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</si>
  <si>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</si>
  <si>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</si>
  <si>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</si>
  <si>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</si>
  <si>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</si>
  <si>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</si>
  <si>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</si>
  <si>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</si>
  <si>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</si>
  <si>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</si>
  <si>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</si>
  <si>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</si>
  <si>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</si>
  <si>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</si>
  <si>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</si>
  <si>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</si>
  <si>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</si>
  <si>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</si>
  <si>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</si>
  <si>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</si>
  <si>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</si>
  <si>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</si>
  <si>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</si>
  <si>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</si>
  <si>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</si>
  <si>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</si>
  <si>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</si>
  <si>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</si>
  <si>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</si>
  <si>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</si>
  <si>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</si>
  <si>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</si>
  <si>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</si>
  <si>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</si>
  <si>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</si>
  <si>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</si>
  <si>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</si>
  <si>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</si>
  <si>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</si>
  <si>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</si>
  <si>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</si>
  <si>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</si>
  <si>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</si>
  <si>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</si>
  <si>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</si>
  <si>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</si>
  <si>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</si>
  <si>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</si>
  <si>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3"/>
  </si>
  <si>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3"/>
  </si>
  <si>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</si>
  <si>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3"/>
  </si>
  <si>
    <r>
      <t xml:space="preserve">別紙様式１
</t>
    </r>
    <r>
      <rPr>
        <sz val="8"/>
        <rFont val="メイリオ"/>
        <family val="3"/>
        <charset val="128"/>
      </rPr>
      <t>（共通部分）</t>
    </r>
    <phoneticPr fontId="3"/>
  </si>
  <si>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</si>
  <si>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</si>
  <si>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</si>
  <si>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中山間直払</t>
    <rPh sb="0" eb="3">
      <t>チュウサンカン</t>
    </rPh>
    <rPh sb="3" eb="5">
      <t>チョクバラ</t>
    </rPh>
    <phoneticPr fontId="3"/>
  </si>
  <si>
    <t>農地法面の見回り</t>
    <rPh sb="0" eb="2">
      <t>ノウチ</t>
    </rPh>
    <rPh sb="2" eb="4">
      <t>ノリメン</t>
    </rPh>
    <rPh sb="5" eb="7">
      <t>ミマワ</t>
    </rPh>
    <phoneticPr fontId="3"/>
  </si>
  <si>
    <t>鳥獣被害防止対策</t>
    <rPh sb="0" eb="8">
      <t>チョウジュウヒガイボウシタイサク</t>
    </rPh>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</si>
  <si>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</si>
  <si>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</si>
  <si>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</si>
  <si>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</si>
  <si>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</si>
  <si>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</si>
  <si>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</si>
  <si>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</si>
  <si>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</si>
  <si>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</si>
  <si>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</si>
  <si>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</si>
  <si>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残（積立）額</t>
    <rPh sb="0" eb="1">
      <t>ザン</t>
    </rPh>
    <rPh sb="2" eb="4">
      <t>ツミタテ</t>
    </rPh>
    <rPh sb="5" eb="6">
      <t>ガク</t>
    </rPh>
    <phoneticPr fontId="3"/>
  </si>
  <si>
    <t>面積・単価で按分（２－①参照）</t>
    <rPh sb="0" eb="2">
      <t>メンセキ</t>
    </rPh>
    <rPh sb="3" eb="5">
      <t>タンカ</t>
    </rPh>
    <rPh sb="6" eb="8">
      <t>アンブン</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</si>
  <si>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</si>
  <si>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</si>
  <si>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</si>
  <si>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</si>
  <si>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個別協定名</t>
    <rPh sb="0" eb="2">
      <t>コベツ</t>
    </rPh>
    <rPh sb="2" eb="4">
      <t>キョウテイ</t>
    </rPh>
    <rPh sb="4" eb="5">
      <t>メイ</t>
    </rPh>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</si>
  <si>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</si>
  <si>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</si>
  <si>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</si>
  <si>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</si>
  <si>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</si>
  <si>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</si>
  <si>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</si>
  <si>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</si>
  <si>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</si>
  <si>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</si>
  <si>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</si>
  <si>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</si>
  <si>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</si>
  <si>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</si>
  <si>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</si>
  <si>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</si>
  <si>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</si>
  <si>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</si>
  <si>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</si>
  <si>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</si>
  <si>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</si>
  <si>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</si>
  <si>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3"/>
  </si>
  <si>
    <t>例)地域運営組織と連携した集落機能強化</t>
    <phoneticPr fontId="3"/>
  </si>
  <si>
    <t>その他（自由記載）</t>
    <phoneticPr fontId="3"/>
  </si>
  <si>
    <t>（自由記載）</t>
    <phoneticPr fontId="3"/>
  </si>
  <si>
    <t>注）工程の概略における「ネットワーク化により連携して実施する活動の開始」には２－４の「ネットワーク化により連携して実施する活動」の番号を記載。</t>
    <phoneticPr fontId="86"/>
  </si>
  <si>
    <t>行を追加する場合はこれより上の行をコピーして「コピーしたセルの挿入」をしてください。</t>
  </si>
  <si>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</si>
  <si>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</si>
  <si>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</si>
  <si>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</si>
  <si>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</si>
  <si>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</si>
  <si>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</si>
  <si>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</si>
  <si>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</si>
  <si>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</si>
  <si>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</si>
  <si>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</si>
  <si>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</si>
  <si>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t>必要に応じて
（集落協定）</t>
    <rPh sb="0" eb="2">
      <t>ヒツヨウ</t>
    </rPh>
    <rPh sb="3" eb="4">
      <t>オウ</t>
    </rPh>
    <rPh sb="8" eb="10">
      <t>シュウラク</t>
    </rPh>
    <rPh sb="10" eb="12">
      <t>キョウテイ</t>
    </rPh>
    <phoneticPr fontId="3"/>
  </si>
  <si>
    <t>金銭出納簿（多面的機能支払交付金の様式）</t>
    <phoneticPr fontId="3"/>
  </si>
  <si>
    <t>活動記録（多面的機能支払交付金の様式）</t>
    <rPh sb="0" eb="4">
      <t>カツドウキロク</t>
    </rPh>
    <phoneticPr fontId="3"/>
  </si>
  <si>
    <t>活動記録（多面的機能支払交付金の様式）</t>
    <phoneticPr fontId="3"/>
  </si>
  <si>
    <t>金銭出納簿（多面的機能支払交付金の様式）</t>
    <rPh sb="0" eb="5">
      <t>キンセンスイトウボ</t>
    </rPh>
    <phoneticPr fontId="3"/>
  </si>
  <si>
    <t>岡山県</t>
    <rPh sb="0" eb="3">
      <t>オカヤマケン</t>
    </rPh>
    <phoneticPr fontId="3"/>
  </si>
  <si>
    <t>真庭市</t>
    <rPh sb="0" eb="3">
      <t>マニワシ</t>
    </rPh>
    <phoneticPr fontId="3"/>
  </si>
  <si>
    <t>真庭集落協定</t>
    <rPh sb="0" eb="2">
      <t>マニワ</t>
    </rPh>
    <rPh sb="2" eb="4">
      <t>シュウラク</t>
    </rPh>
    <rPh sb="4" eb="6">
      <t>キョウテイ</t>
    </rPh>
    <phoneticPr fontId="3"/>
  </si>
  <si>
    <t>真庭　太郎</t>
    <rPh sb="0" eb="2">
      <t>マニワ</t>
    </rPh>
    <rPh sb="3" eb="5">
      <t>タロウ</t>
    </rPh>
    <phoneticPr fontId="3"/>
  </si>
  <si>
    <t>岡山県真庭市久世2927ｰ2</t>
    <rPh sb="0" eb="8">
      <t>オカヤマケンマニワシクセ</t>
    </rPh>
    <phoneticPr fontId="3"/>
  </si>
  <si>
    <t>水稲</t>
    <rPh sb="0" eb="2">
      <t>スイトウ</t>
    </rPh>
    <phoneticPr fontId="3"/>
  </si>
  <si>
    <t>維持管理（耕起・草刈）</t>
    <rPh sb="0" eb="4">
      <t>イジカンリ</t>
    </rPh>
    <rPh sb="5" eb="7">
      <t>コウキ</t>
    </rPh>
    <rPh sb="8" eb="10">
      <t>クサカリ</t>
    </rPh>
    <phoneticPr fontId="3"/>
  </si>
  <si>
    <t>野菜</t>
    <rPh sb="0" eb="2">
      <t>ヤサイ</t>
    </rPh>
    <phoneticPr fontId="3"/>
  </si>
  <si>
    <t>果樹</t>
    <rPh sb="0" eb="2">
      <t>カジュ</t>
    </rPh>
    <phoneticPr fontId="3"/>
  </si>
  <si>
    <t>その他作付</t>
    <rPh sb="2" eb="5">
      <t>タサクツ</t>
    </rPh>
    <phoneticPr fontId="3"/>
  </si>
  <si>
    <t>通常地域（8法内）</t>
    <phoneticPr fontId="3"/>
  </si>
  <si>
    <t>超急傾斜農地
棚田地域振興農地</t>
    <rPh sb="0" eb="1">
      <t>チョウ</t>
    </rPh>
    <rPh sb="1" eb="4">
      <t>キュウケイシャ</t>
    </rPh>
    <rPh sb="4" eb="6">
      <t>ノウチ</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</si>
  <si>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</si>
  <si>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</si>
  <si>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　別添の中山間地域等直接支払交付金に係る集落協定（以下、「集落協定」という。）「（別添１）実施区域位置図」のとおり。</t>
    <phoneticPr fontId="3"/>
  </si>
  <si>
    <t>集落協定「第３　協定対象となる農用地」に記載のとおり。</t>
    <phoneticPr fontId="136"/>
  </si>
  <si>
    <t>「第４　集落マスタープラン」、「第５　農業生産活動等として取り組むべき事項」、　「第８　農業生産活動等の体制整備として取り組むべき事項」及び「第９　加算措置適用のために取り組むべき事項」に記載のとおり。</t>
    <phoneticPr fontId="3"/>
  </si>
  <si>
    <t>「Ⅰ．地区の概要」の「１．活動期間」のとおり。</t>
    <phoneticPr fontId="136"/>
  </si>
  <si>
    <t>集落協定「（別添２）構成員一覧」に記載のとおり。</t>
    <phoneticPr fontId="136"/>
  </si>
  <si>
    <t>中山間地域等直接支払に係る集落協定書</t>
    <phoneticPr fontId="3"/>
  </si>
  <si>
    <t>機械組合を立ち上げ、機械の共同化を実現する。</t>
    <rPh sb="0" eb="2">
      <t>キカイ</t>
    </rPh>
    <rPh sb="2" eb="4">
      <t>クミアイ</t>
    </rPh>
    <rPh sb="5" eb="6">
      <t>タ</t>
    </rPh>
    <rPh sb="7" eb="8">
      <t>ア</t>
    </rPh>
    <rPh sb="10" eb="12">
      <t>キカイ</t>
    </rPh>
    <rPh sb="13" eb="16">
      <t>キョウドウカ</t>
    </rPh>
    <rPh sb="17" eb="19">
      <t>ジツゲン</t>
    </rPh>
    <phoneticPr fontId="3"/>
  </si>
  <si>
    <r>
      <t>　○ 取り崩し予定年度における積立累計額：</t>
    </r>
    <r>
      <rPr>
        <u/>
        <sz val="11"/>
        <color rgb="FFFF0000"/>
        <rFont val="ＭＳ 明朝"/>
        <family val="1"/>
        <charset val="128"/>
      </rPr>
      <t>　</t>
    </r>
    <phoneticPr fontId="3"/>
  </si>
  <si>
    <t>令和10年度</t>
  </si>
  <si>
    <t>（別紙様式8）</t>
    <rPh sb="1" eb="3">
      <t>ベッシ</t>
    </rPh>
    <rPh sb="3" eb="5">
      <t>ヨウシキ</t>
    </rPh>
    <phoneticPr fontId="170"/>
  </si>
  <si>
    <t>協定名</t>
    <rPh sb="0" eb="2">
      <t>キョウテイ</t>
    </rPh>
    <rPh sb="2" eb="3">
      <t>メイ</t>
    </rPh>
    <phoneticPr fontId="170"/>
  </si>
  <si>
    <t>（１）適正な施肥</t>
    <rPh sb="3" eb="5">
      <t>テキセイ</t>
    </rPh>
    <rPh sb="6" eb="8">
      <t>セヒ</t>
    </rPh>
    <phoneticPr fontId="170"/>
  </si>
  <si>
    <t>報告時
（しました）</t>
    <rPh sb="0" eb="2">
      <t>ホウコク</t>
    </rPh>
    <rPh sb="2" eb="3">
      <t>ジ</t>
    </rPh>
    <phoneticPr fontId="170"/>
  </si>
  <si>
    <t>（５）廃棄物の発生抑制、適正な循環的な利用及び適正な処分</t>
    <rPh sb="3" eb="5">
      <t>ハイキ</t>
    </rPh>
    <rPh sb="5" eb="6">
      <t>モノ</t>
    </rPh>
    <rPh sb="7" eb="9">
      <t>ハッセイ</t>
    </rPh>
    <rPh sb="9" eb="11">
      <t>ヨクセイ</t>
    </rPh>
    <rPh sb="12" eb="14">
      <t>テキセイ</t>
    </rPh>
    <rPh sb="15" eb="18">
      <t>ジュンカンテキ</t>
    </rPh>
    <rPh sb="19" eb="21">
      <t>リヨウ</t>
    </rPh>
    <rPh sb="21" eb="22">
      <t>オヨ</t>
    </rPh>
    <rPh sb="23" eb="25">
      <t>テキセイ</t>
    </rPh>
    <rPh sb="26" eb="28">
      <t>ショブン</t>
    </rPh>
    <phoneticPr fontId="170"/>
  </si>
  <si>
    <t>共同取組活動を行う場合には、プラ等の廃棄物の削減に努め、適正に処理</t>
    <rPh sb="0" eb="2">
      <t>キョウドウ</t>
    </rPh>
    <rPh sb="2" eb="4">
      <t>トリクミ</t>
    </rPh>
    <rPh sb="4" eb="6">
      <t>カツドウ</t>
    </rPh>
    <rPh sb="7" eb="8">
      <t>オコナ</t>
    </rPh>
    <rPh sb="9" eb="11">
      <t>バアイ</t>
    </rPh>
    <rPh sb="16" eb="17">
      <t>トウ</t>
    </rPh>
    <rPh sb="18" eb="21">
      <t>ハイキブツ</t>
    </rPh>
    <rPh sb="22" eb="24">
      <t>サクゲン</t>
    </rPh>
    <rPh sb="25" eb="26">
      <t>ツト</t>
    </rPh>
    <rPh sb="28" eb="30">
      <t>テキセイ</t>
    </rPh>
    <rPh sb="31" eb="33">
      <t>ショリ</t>
    </rPh>
    <phoneticPr fontId="170"/>
  </si>
  <si>
    <t>肥料の適正な保管</t>
  </si>
  <si>
    <t>　（該当しない</t>
  </si>
  <si>
    <t>）</t>
  </si>
  <si>
    <t>②</t>
  </si>
  <si>
    <t>（６）生物多様性への悪影響</t>
    <rPh sb="3" eb="5">
      <t>セイブツ</t>
    </rPh>
    <rPh sb="5" eb="8">
      <t>タヨウセイ</t>
    </rPh>
    <rPh sb="10" eb="13">
      <t>アクエイキョウ</t>
    </rPh>
    <phoneticPr fontId="170"/>
  </si>
  <si>
    <t>肥料の使用状況等の記録保存に努める</t>
    <rPh sb="0" eb="2">
      <t>ヒリョウ</t>
    </rPh>
    <rPh sb="3" eb="5">
      <t>シヨウ</t>
    </rPh>
    <rPh sb="5" eb="7">
      <t>ジョウキョウ</t>
    </rPh>
    <rPh sb="7" eb="8">
      <t>トウ</t>
    </rPh>
    <rPh sb="9" eb="11">
      <t>キロク</t>
    </rPh>
    <rPh sb="11" eb="13">
      <t>ホゾン</t>
    </rPh>
    <rPh sb="14" eb="15">
      <t>ツト</t>
    </rPh>
    <phoneticPr fontId="170"/>
  </si>
  <si>
    <t>⑨</t>
  </si>
  <si>
    <t>農薬の適正な保管</t>
    <rPh sb="0" eb="2">
      <t>ノウヤク</t>
    </rPh>
    <phoneticPr fontId="170"/>
  </si>
  <si>
    <t>（２）適正な防除</t>
    <rPh sb="3" eb="5">
      <t>テキセイ</t>
    </rPh>
    <rPh sb="6" eb="8">
      <t>ボウジョ</t>
    </rPh>
    <phoneticPr fontId="170"/>
  </si>
  <si>
    <t>⑩</t>
  </si>
  <si>
    <t>③</t>
  </si>
  <si>
    <t>農薬の使用状況等の記録・保存</t>
    <rPh sb="0" eb="2">
      <t>ノウヤク</t>
    </rPh>
    <rPh sb="3" eb="5">
      <t>シヨウ</t>
    </rPh>
    <rPh sb="5" eb="7">
      <t>ジョウキョウ</t>
    </rPh>
    <rPh sb="7" eb="8">
      <t>トウ</t>
    </rPh>
    <rPh sb="9" eb="11">
      <t>キロク</t>
    </rPh>
    <rPh sb="12" eb="14">
      <t>ホゾン</t>
    </rPh>
    <phoneticPr fontId="170"/>
  </si>
  <si>
    <t>農薬の適正な使用・保管</t>
  </si>
  <si>
    <t>⑪</t>
  </si>
  <si>
    <t>④</t>
  </si>
  <si>
    <t>生物多様性に配慮した事業実施に努める</t>
    <rPh sb="0" eb="2">
      <t>セイブツ</t>
    </rPh>
    <rPh sb="2" eb="5">
      <t>タヨウセイ</t>
    </rPh>
    <rPh sb="6" eb="8">
      <t>ハイリョ</t>
    </rPh>
    <rPh sb="10" eb="12">
      <t>ジギョウ</t>
    </rPh>
    <rPh sb="12" eb="14">
      <t>ジッシ</t>
    </rPh>
    <rPh sb="15" eb="16">
      <t>ツト</t>
    </rPh>
    <phoneticPr fontId="170"/>
  </si>
  <si>
    <t>（３）エネルギーの節減</t>
    <rPh sb="9" eb="11">
      <t>セツゲン</t>
    </rPh>
    <phoneticPr fontId="170"/>
  </si>
  <si>
    <t>（７）環境関係法令等の遵守等</t>
    <rPh sb="3" eb="5">
      <t>カンキョウ</t>
    </rPh>
    <rPh sb="5" eb="7">
      <t>カンケイ</t>
    </rPh>
    <rPh sb="7" eb="9">
      <t>ホウレイ</t>
    </rPh>
    <rPh sb="9" eb="10">
      <t>トウ</t>
    </rPh>
    <rPh sb="11" eb="13">
      <t>ジュンシュ</t>
    </rPh>
    <rPh sb="13" eb="14">
      <t>トウ</t>
    </rPh>
    <phoneticPr fontId="170"/>
  </si>
  <si>
    <t>⑫</t>
  </si>
  <si>
    <t>みどりの食料戦略を理解し、適切な事業実施に努める</t>
    <rPh sb="4" eb="6">
      <t>ショクリョウ</t>
    </rPh>
    <rPh sb="6" eb="8">
      <t>センリャク</t>
    </rPh>
    <rPh sb="9" eb="11">
      <t>リカイ</t>
    </rPh>
    <rPh sb="13" eb="15">
      <t>テキセツ</t>
    </rPh>
    <rPh sb="16" eb="18">
      <t>ジギョウ</t>
    </rPh>
    <rPh sb="18" eb="20">
      <t>ジッシ</t>
    </rPh>
    <rPh sb="21" eb="22">
      <t>ツト</t>
    </rPh>
    <phoneticPr fontId="170"/>
  </si>
  <si>
    <t>農機等の燃料の使用状況の記録・保存に努める</t>
    <rPh sb="0" eb="2">
      <t>ノウキ</t>
    </rPh>
    <rPh sb="2" eb="3">
      <t>トウ</t>
    </rPh>
    <rPh sb="4" eb="6">
      <t>ネンリョウ</t>
    </rPh>
    <rPh sb="7" eb="9">
      <t>シヨウ</t>
    </rPh>
    <rPh sb="9" eb="11">
      <t>ジョウキョウ</t>
    </rPh>
    <rPh sb="12" eb="14">
      <t>キロク</t>
    </rPh>
    <rPh sb="15" eb="17">
      <t>ホゾン</t>
    </rPh>
    <rPh sb="18" eb="19">
      <t>ツト</t>
    </rPh>
    <phoneticPr fontId="170"/>
  </si>
  <si>
    <t>⑬</t>
  </si>
  <si>
    <t>関係法令の遵守</t>
    <rPh sb="0" eb="2">
      <t>カンケイ</t>
    </rPh>
    <rPh sb="2" eb="4">
      <t>ホウレイ</t>
    </rPh>
    <rPh sb="5" eb="7">
      <t>ジュンシュ</t>
    </rPh>
    <phoneticPr fontId="170"/>
  </si>
  <si>
    <t>⑭</t>
  </si>
  <si>
    <t>省エネを意識し、不必要・非効率なエネルギー消費をしないように努める</t>
    <rPh sb="0" eb="1">
      <t>ショウ</t>
    </rPh>
    <rPh sb="4" eb="6">
      <t>イシキ</t>
    </rPh>
    <rPh sb="8" eb="11">
      <t>フヒツヨウ</t>
    </rPh>
    <rPh sb="12" eb="15">
      <t>ヒコウリツ</t>
    </rPh>
    <rPh sb="21" eb="23">
      <t>ショウヒ</t>
    </rPh>
    <rPh sb="30" eb="31">
      <t>ツト</t>
    </rPh>
    <phoneticPr fontId="170"/>
  </si>
  <si>
    <t>機械等の適切な整備と管理に努める</t>
    <rPh sb="0" eb="2">
      <t>キカイ</t>
    </rPh>
    <rPh sb="2" eb="3">
      <t>トウ</t>
    </rPh>
    <rPh sb="4" eb="6">
      <t>テキセツ</t>
    </rPh>
    <rPh sb="7" eb="9">
      <t>セイビ</t>
    </rPh>
    <rPh sb="10" eb="12">
      <t>カンリ</t>
    </rPh>
    <rPh sb="13" eb="14">
      <t>ツト</t>
    </rPh>
    <phoneticPr fontId="170"/>
  </si>
  <si>
    <t>⑮</t>
  </si>
  <si>
    <t>正しい知識に基づく作業安全に努める</t>
    <rPh sb="0" eb="1">
      <t>タダ</t>
    </rPh>
    <rPh sb="3" eb="5">
      <t>チシキ</t>
    </rPh>
    <rPh sb="6" eb="7">
      <t>モト</t>
    </rPh>
    <rPh sb="9" eb="11">
      <t>サギョウ</t>
    </rPh>
    <rPh sb="11" eb="13">
      <t>アンゼン</t>
    </rPh>
    <rPh sb="14" eb="15">
      <t>ツト</t>
    </rPh>
    <phoneticPr fontId="170"/>
  </si>
  <si>
    <t>（４）悪臭及び害虫の発生防止</t>
    <rPh sb="3" eb="5">
      <t>アクシュウ</t>
    </rPh>
    <rPh sb="5" eb="6">
      <t>オヨ</t>
    </rPh>
    <rPh sb="7" eb="9">
      <t>ガイチュウ</t>
    </rPh>
    <rPh sb="10" eb="12">
      <t>ハッセイ</t>
    </rPh>
    <rPh sb="12" eb="14">
      <t>ボウシ</t>
    </rPh>
    <phoneticPr fontId="170"/>
  </si>
  <si>
    <t>（申請時に☑）</t>
    <rPh sb="1" eb="4">
      <t>シンセイジ</t>
    </rPh>
    <phoneticPr fontId="170"/>
  </si>
  <si>
    <t>（報告時に☑）</t>
    <rPh sb="1" eb="3">
      <t>ホウコク</t>
    </rPh>
    <rPh sb="3" eb="4">
      <t>トキ</t>
    </rPh>
    <phoneticPr fontId="170"/>
  </si>
  <si>
    <t>共同取組活動を行う場合には、悪臭・害虫の発生防止・低減に努める</t>
    <rPh sb="0" eb="2">
      <t>キョウドウ</t>
    </rPh>
    <rPh sb="2" eb="4">
      <t>トリクミ</t>
    </rPh>
    <rPh sb="4" eb="6">
      <t>カツドウ</t>
    </rPh>
    <rPh sb="7" eb="8">
      <t>オコナ</t>
    </rPh>
    <rPh sb="9" eb="11">
      <t>バアイ</t>
    </rPh>
    <rPh sb="14" eb="16">
      <t>アクシュウ</t>
    </rPh>
    <rPh sb="17" eb="19">
      <t>ガイチュウ</t>
    </rPh>
    <rPh sb="20" eb="22">
      <t>ハッセイ</t>
    </rPh>
    <rPh sb="22" eb="24">
      <t>ボウシ</t>
    </rPh>
    <rPh sb="25" eb="27">
      <t>テイゲン</t>
    </rPh>
    <rPh sb="28" eb="29">
      <t>ツト</t>
    </rPh>
    <phoneticPr fontId="170"/>
  </si>
  <si>
    <t>注１　申請時は「します」の□、報告時は「しました」の□にチェックしてください。
注２　「※」の記載内容に該当しない場合は「（該当しない　□）」にチェックしてください。
　　　この場合、当該項目の申請時・報告時のチェックは不要です。</t>
  </si>
  <si>
    <t>申請時記入日：</t>
    <rPh sb="0" eb="2">
      <t>シンセイ</t>
    </rPh>
    <rPh sb="2" eb="3">
      <t>トキ</t>
    </rPh>
    <rPh sb="3" eb="5">
      <t>キニュウ</t>
    </rPh>
    <rPh sb="5" eb="6">
      <t>ビ</t>
    </rPh>
    <phoneticPr fontId="3"/>
  </si>
  <si>
    <t>報告時記入日：</t>
    <rPh sb="0" eb="2">
      <t>ホウコク</t>
    </rPh>
    <rPh sb="2" eb="3">
      <t>トキ</t>
    </rPh>
    <rPh sb="3" eb="5">
      <t>キニュウ</t>
    </rPh>
    <rPh sb="5" eb="6">
      <t>ビ</t>
    </rPh>
    <phoneticPr fontId="3"/>
  </si>
  <si>
    <t>年　　　　月　　　　日</t>
    <rPh sb="0" eb="1">
      <t>ネン</t>
    </rPh>
    <rPh sb="5" eb="6">
      <t>ツキ</t>
    </rPh>
    <phoneticPr fontId="170"/>
  </si>
  <si>
    <t>※共同取組活動で施肥を行う場合</t>
    <rPh sb="1" eb="3">
      <t>キョウドウ</t>
    </rPh>
    <rPh sb="3" eb="5">
      <t>トリクミ</t>
    </rPh>
    <rPh sb="5" eb="7">
      <t>カツドウ</t>
    </rPh>
    <rPh sb="8" eb="10">
      <t>セヒ</t>
    </rPh>
    <rPh sb="11" eb="12">
      <t>オコナ</t>
    </rPh>
    <rPh sb="13" eb="15">
      <t>バアイ</t>
    </rPh>
    <phoneticPr fontId="170"/>
  </si>
  <si>
    <t>※共同取組活動で施肥を行う場合</t>
    <phoneticPr fontId="3"/>
  </si>
  <si>
    <t>※共同取組活動で農薬を使った防除を行う場合</t>
    <rPh sb="1" eb="3">
      <t>キョウドウ</t>
    </rPh>
    <rPh sb="3" eb="5">
      <t>トリクミ</t>
    </rPh>
    <rPh sb="5" eb="7">
      <t>カツドウ</t>
    </rPh>
    <rPh sb="8" eb="10">
      <t>ノウヤク</t>
    </rPh>
    <rPh sb="11" eb="12">
      <t>ツカ</t>
    </rPh>
    <rPh sb="14" eb="16">
      <t>ボウジョ</t>
    </rPh>
    <rPh sb="17" eb="18">
      <t>オコナ</t>
    </rPh>
    <rPh sb="19" eb="21">
      <t>バアイ</t>
    </rPh>
    <phoneticPr fontId="170"/>
  </si>
  <si>
    <t>※共有資産として入手した50万円以上の農機等がある場合</t>
    <rPh sb="1" eb="3">
      <t>キョウユウ</t>
    </rPh>
    <rPh sb="3" eb="5">
      <t>シサン</t>
    </rPh>
    <rPh sb="8" eb="10">
      <t>ニュウシュ</t>
    </rPh>
    <rPh sb="14" eb="16">
      <t>マンエン</t>
    </rPh>
    <rPh sb="16" eb="18">
      <t>イジョウ</t>
    </rPh>
    <rPh sb="19" eb="21">
      <t>ノウキ</t>
    </rPh>
    <rPh sb="21" eb="22">
      <t>トウ</t>
    </rPh>
    <rPh sb="25" eb="27">
      <t>バアイ</t>
    </rPh>
    <phoneticPr fontId="170"/>
  </si>
  <si>
    <t>※生物多様性の影響が想定される工事等を実施する場合</t>
    <rPh sb="1" eb="3">
      <t>セイブツ</t>
    </rPh>
    <rPh sb="3" eb="6">
      <t>タヨウセイ</t>
    </rPh>
    <rPh sb="7" eb="9">
      <t>エイキョウ</t>
    </rPh>
    <rPh sb="10" eb="12">
      <t>ソウテイ</t>
    </rPh>
    <rPh sb="15" eb="17">
      <t>コウジ</t>
    </rPh>
    <rPh sb="17" eb="18">
      <t>トウ</t>
    </rPh>
    <rPh sb="19" eb="21">
      <t>ジッシ</t>
    </rPh>
    <rPh sb="23" eb="25">
      <t>バアイ</t>
    </rPh>
    <phoneticPr fontId="170"/>
  </si>
  <si>
    <t>※機械等を扱う事業者である場合</t>
    <rPh sb="1" eb="3">
      <t>キカイ</t>
    </rPh>
    <rPh sb="3" eb="4">
      <t>トウ</t>
    </rPh>
    <rPh sb="5" eb="6">
      <t>アツカ</t>
    </rPh>
    <rPh sb="7" eb="10">
      <t>ジギョウシャ</t>
    </rPh>
    <rPh sb="13" eb="15">
      <t>バアイ</t>
    </rPh>
    <phoneticPr fontId="170"/>
  </si>
  <si>
    <t>環境負荷低減のチェックシート（集落協定向け）</t>
    <rPh sb="0" eb="2">
      <t>カンキョウ</t>
    </rPh>
    <rPh sb="2" eb="4">
      <t>フカ</t>
    </rPh>
    <rPh sb="4" eb="6">
      <t>テイゲン</t>
    </rPh>
    <rPh sb="15" eb="17">
      <t>シュウラク</t>
    </rPh>
    <rPh sb="17" eb="19">
      <t>キョウテイ</t>
    </rPh>
    <rPh sb="19" eb="20">
      <t>ム</t>
    </rPh>
    <phoneticPr fontId="170"/>
  </si>
  <si>
    <t>申請時
（します）</t>
    <rPh sb="0" eb="3">
      <t>シンセイジ</t>
    </rPh>
    <phoneticPr fontId="170"/>
  </si>
  <si>
    <t>ネットワーク化活動計画</t>
    <rPh sb="6" eb="7">
      <t>カ</t>
    </rPh>
    <rPh sb="7" eb="11">
      <t>カツドウケイカク</t>
    </rPh>
    <phoneticPr fontId="3"/>
  </si>
  <si>
    <t>○○地域づくり協議会</t>
    <phoneticPr fontId="3"/>
  </si>
  <si>
    <t>△△子供会</t>
    <rPh sb="2" eb="3">
      <t>コ</t>
    </rPh>
    <phoneticPr fontId="3"/>
  </si>
  <si>
    <t>○○土地改良区</t>
    <phoneticPr fontId="3"/>
  </si>
  <si>
    <t>××自治会</t>
    <rPh sb="2" eb="5">
      <t>ジチカイ</t>
    </rPh>
    <phoneticPr fontId="3"/>
  </si>
  <si>
    <t>◆◆大学</t>
    <rPh sb="2" eb="4">
      <t>ダイガク</t>
    </rPh>
    <phoneticPr fontId="3"/>
  </si>
  <si>
    <t>◆◆高校普通科</t>
    <rPh sb="2" eb="4">
      <t>コウコウ</t>
    </rPh>
    <rPh sb="4" eb="7">
      <t>フツウカ</t>
    </rPh>
    <phoneticPr fontId="3"/>
  </si>
  <si>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大学が当集落へフィールドワークに来ていた縁により、令和７年度に◆◆大学、○○地域づくり協議会、当集落協定の３者で棚田振興のための連携協定を締結した。令和７年度より、農作業が困難となっていた棚田において、◆◆大学の教員や学生と連携し、田植えや収穫作業を始める予定である。大学との連絡調整や宿泊場所の手配は○○地域づくり協議会が担当し、作業当日の作業方法の説明や必要な物品の準備は当集落協定が担当する。将来的には○○地域づくり協議会を中心に棚田を活かした農泊にも取り組みたいと考えており、◆◆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・持続的な取組を実現するため、○○地域づくり
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86"/>
  </si>
  <si>
    <r>
      <t>⑧その他（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6"/>
  </si>
  <si>
    <t>必須
（集落・個別協定）</t>
    <rPh sb="0" eb="2">
      <t>ヒッス</t>
    </rPh>
    <rPh sb="4" eb="6">
      <t>シュウラク</t>
    </rPh>
    <rPh sb="7" eb="11">
      <t>コベツキョウテイ</t>
    </rPh>
    <phoneticPr fontId="3"/>
  </si>
  <si>
    <t>中山間地域等直接支払交付金の支出に係る届出について
（「中山間地域等直接支払交付金における共同取組活動に要する経費の適正な支出について」に基づく様式）</t>
    <phoneticPr fontId="3"/>
  </si>
  <si>
    <t>代表</t>
    <rPh sb="0" eb="2">
      <t>ダイヒョウ</t>
    </rPh>
    <phoneticPr fontId="3"/>
  </si>
  <si>
    <r>
      <t>【記入要領】
□　地域区分：</t>
    </r>
    <r>
      <rPr>
        <b/>
        <sz val="20"/>
        <rFont val="ＭＳ Ｐゴシック"/>
        <family val="3"/>
        <charset val="128"/>
      </rPr>
      <t xml:space="preserve"> 「通常地域（8法内）」と記入。</t>
    </r>
    <r>
      <rPr>
        <b/>
        <sz val="20"/>
        <color rgb="FF0000FF"/>
        <rFont val="ＭＳ Ｐゴシック"/>
        <family val="3"/>
        <charset val="128"/>
      </rPr>
      <t xml:space="preserve">
□　一団の農用地名・団地名：</t>
    </r>
    <r>
      <rPr>
        <b/>
        <sz val="20"/>
        <rFont val="ＭＳ Ｐゴシック"/>
        <family val="3"/>
        <charset val="128"/>
      </rPr>
      <t>5期のものを記入（新規追加した農地は、農業振興課へ確認してください）</t>
    </r>
    <r>
      <rPr>
        <b/>
        <sz val="20"/>
        <color rgb="FF0000FF"/>
        <rFont val="ＭＳ Ｐゴシック"/>
        <family val="3"/>
        <charset val="128"/>
      </rPr>
      <t xml:space="preserve">
□　地目：</t>
    </r>
    <r>
      <rPr>
        <b/>
        <sz val="20"/>
        <rFont val="ＭＳ Ｐゴシック"/>
        <family val="3"/>
        <charset val="128"/>
      </rPr>
      <t>現況の地目を記入（登記地目が田でも、果樹が生えていたりすると畑になります。この場合、傾斜が足りるか確認）</t>
    </r>
    <r>
      <rPr>
        <b/>
        <sz val="20"/>
        <color rgb="FF0000FF"/>
        <rFont val="ＭＳ Ｐゴシック"/>
        <family val="3"/>
        <charset val="128"/>
      </rPr>
      <t xml:space="preserve">
□　面積：</t>
    </r>
    <r>
      <rPr>
        <b/>
        <sz val="20"/>
        <rFont val="ＭＳ Ｐゴシック"/>
        <family val="3"/>
        <charset val="128"/>
      </rPr>
      <t>基本的に、登記簿上の面積を記入（建物が立っていたり、収容があったりした場合、その分の面積を控除）</t>
    </r>
    <r>
      <rPr>
        <b/>
        <sz val="20"/>
        <color rgb="FF0000FF"/>
        <rFont val="ＭＳ Ｐゴシック"/>
        <family val="3"/>
        <charset val="128"/>
      </rPr>
      <t xml:space="preserve">
□　交付基準（傾斜等）：</t>
    </r>
    <r>
      <rPr>
        <b/>
        <sz val="20"/>
        <rFont val="ＭＳ Ｐゴシック"/>
        <family val="3"/>
        <charset val="128"/>
      </rPr>
      <t>傾斜区分（緩傾斜、急傾斜、超急傾斜のいずれか）を記入。</t>
    </r>
    <r>
      <rPr>
        <b/>
        <sz val="20"/>
        <color rgb="FF0000FF"/>
        <rFont val="ＭＳ Ｐゴシック"/>
        <family val="3"/>
        <charset val="128"/>
      </rPr>
      <t xml:space="preserve">
□　超急傾斜農地・棚田地域振興農地：</t>
    </r>
    <r>
      <rPr>
        <b/>
        <sz val="20"/>
        <rFont val="ＭＳ Ｐゴシック"/>
        <family val="3"/>
        <charset val="128"/>
      </rPr>
      <t>該当があれば記入。</t>
    </r>
    <r>
      <rPr>
        <b/>
        <sz val="20"/>
        <color rgb="FF0000FF"/>
        <rFont val="ＭＳ Ｐゴシック"/>
        <family val="3"/>
        <charset val="128"/>
      </rPr>
      <t xml:space="preserve">
□　10a当たりの単価(円)：</t>
    </r>
    <r>
      <rPr>
        <b/>
        <sz val="20"/>
        <rFont val="ＭＳ Ｐゴシック"/>
        <family val="3"/>
        <charset val="128"/>
      </rPr>
      <t>地目と傾斜によって、単価を選択。（8割協定の場合は、0.8をかけてください。）</t>
    </r>
    <r>
      <rPr>
        <b/>
        <sz val="20"/>
        <color rgb="FF0000FF"/>
        <rFont val="ＭＳ Ｐゴシック"/>
        <family val="3"/>
        <charset val="128"/>
      </rPr>
      <t xml:space="preserve">
□　④加算の適用：</t>
    </r>
    <r>
      <rPr>
        <b/>
        <sz val="20"/>
        <rFont val="ＭＳ Ｐゴシック"/>
        <family val="3"/>
        <charset val="128"/>
      </rPr>
      <t>該当する加算措置がある場合〇を記入。</t>
    </r>
    <r>
      <rPr>
        <b/>
        <sz val="20"/>
        <color rgb="FF0000FF"/>
        <rFont val="ＭＳ Ｐゴシック"/>
        <family val="3"/>
        <charset val="128"/>
      </rPr>
      <t xml:space="preserve">
□　⑤農用地の管理：</t>
    </r>
    <r>
      <rPr>
        <b/>
        <sz val="20"/>
        <rFont val="ＭＳ Ｐゴシック"/>
        <family val="3"/>
        <charset val="128"/>
      </rPr>
      <t>耕作か維持管理か、具体的な管理方法を例を参考に1筆ずつ記入してください。</t>
    </r>
    <r>
      <rPr>
        <b/>
        <sz val="20"/>
        <color rgb="FF0000FF"/>
        <rFont val="ＭＳ Ｐゴシック"/>
        <family val="3"/>
        <charset val="128"/>
      </rPr>
      <t xml:space="preserve">
□　⑥管理者：</t>
    </r>
    <r>
      <rPr>
        <b/>
        <sz val="20"/>
        <rFont val="ＭＳ Ｐゴシック"/>
        <family val="3"/>
        <charset val="128"/>
      </rPr>
      <t>「現にその農地を管理している人」の名前を1筆ずつ記入してください。</t>
    </r>
    <r>
      <rPr>
        <b/>
        <sz val="20"/>
        <color rgb="FF0000FF"/>
        <rFont val="ＭＳ Ｐゴシック"/>
        <family val="3"/>
        <charset val="128"/>
      </rPr>
      <t xml:space="preserve">
□　⑦個人配分を受ける所得超過者の引受地：</t>
    </r>
    <r>
      <rPr>
        <b/>
        <sz val="20"/>
        <rFont val="ＭＳ Ｐゴシック"/>
        <family val="3"/>
        <charset val="128"/>
      </rPr>
      <t>該当があれば記入してください。</t>
    </r>
    <rPh sb="27" eb="29">
      <t>キニュウ</t>
    </rPh>
    <rPh sb="51" eb="53">
      <t>キニュウ</t>
    </rPh>
    <rPh sb="91" eb="93">
      <t>キニュウ</t>
    </rPh>
    <rPh sb="156" eb="158">
      <t>キニュウ</t>
    </rPh>
    <rPh sb="228" eb="230">
      <t>キニュウ</t>
    </rPh>
    <rPh sb="250" eb="252">
      <t>ガイトウ</t>
    </rPh>
    <rPh sb="256" eb="258">
      <t>キニュウ</t>
    </rPh>
    <rPh sb="324" eb="326">
      <t>ガイトウ</t>
    </rPh>
    <rPh sb="328" eb="332">
      <t>カサンソチ</t>
    </rPh>
    <rPh sb="335" eb="337">
      <t>バアイ</t>
    </rPh>
    <rPh sb="339" eb="341">
      <t>キニュウ</t>
    </rPh>
    <rPh sb="353" eb="355">
      <t>コウサク</t>
    </rPh>
    <rPh sb="356" eb="358">
      <t>イジ</t>
    </rPh>
    <rPh sb="358" eb="360">
      <t>カンリ</t>
    </rPh>
    <rPh sb="362" eb="365">
      <t>グタイテキ</t>
    </rPh>
    <rPh sb="366" eb="368">
      <t>カンリ</t>
    </rPh>
    <rPh sb="368" eb="370">
      <t>ホウホウ</t>
    </rPh>
    <rPh sb="371" eb="372">
      <t>レイ</t>
    </rPh>
    <rPh sb="373" eb="375">
      <t>サンコウ</t>
    </rPh>
    <rPh sb="377" eb="378">
      <t>フデ</t>
    </rPh>
    <rPh sb="380" eb="382">
      <t>キニュウ</t>
    </rPh>
    <rPh sb="398" eb="399">
      <t>ゲン</t>
    </rPh>
    <rPh sb="402" eb="404">
      <t>ノウチ</t>
    </rPh>
    <rPh sb="405" eb="407">
      <t>カンリ</t>
    </rPh>
    <rPh sb="411" eb="412">
      <t>ヒト</t>
    </rPh>
    <rPh sb="414" eb="416">
      <t>ナマエ</t>
    </rPh>
    <rPh sb="418" eb="419">
      <t>フデ</t>
    </rPh>
    <rPh sb="421" eb="423">
      <t>キニュウ</t>
    </rPh>
    <rPh sb="452" eb="454">
      <t>ガイトウ</t>
    </rPh>
    <rPh sb="458" eb="460">
      <t>キニュウ</t>
    </rPh>
    <phoneticPr fontId="3"/>
  </si>
  <si>
    <t>注４：中山間地域等直接支払の場合には、「分類記号」を分類記号リストA～Mから選択するとともに、「年齢分類記号」を年齢分類記号リストのア～コから選択。また、農業所得の確認に関する承諾欄についても〇を記入。なお、農業所得の確認に関する承諾と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対象者は、個人又は一戸一法人で、協定に位置づけられている農用地の管理を行っている者。</t>
    <rPh sb="77" eb="81">
      <t>ノウギョウショトク</t>
    </rPh>
    <rPh sb="85" eb="86">
      <t>カン</t>
    </rPh>
    <rPh sb="88" eb="90">
      <t>ショウダク</t>
    </rPh>
    <rPh sb="90" eb="91">
      <t>ラン</t>
    </rPh>
    <rPh sb="98" eb="100">
      <t>キニュウ</t>
    </rPh>
    <rPh sb="104" eb="108">
      <t>ノウギョウショトク</t>
    </rPh>
    <rPh sb="109" eb="111">
      <t>カクニン</t>
    </rPh>
    <rPh sb="112" eb="113">
      <t>カン</t>
    </rPh>
    <rPh sb="115" eb="117">
      <t>ショウダク</t>
    </rPh>
    <phoneticPr fontId="3"/>
  </si>
  <si>
    <t>農業所得の確認に関する承諾</t>
    <rPh sb="0" eb="4">
      <t>ノウギョウショトク</t>
    </rPh>
    <phoneticPr fontId="3"/>
  </si>
  <si>
    <t>　　　別紙１</t>
    <rPh sb="3" eb="5">
      <t>ベッシ</t>
    </rPh>
    <phoneticPr fontId="3"/>
  </si>
  <si>
    <t>⑥管理者+P16:R20</t>
    <rPh sb="1" eb="4">
      <t>カンリシャ</t>
    </rPh>
    <phoneticPr fontId="3"/>
  </si>
  <si>
    <t>〇</t>
    <phoneticPr fontId="3"/>
  </si>
  <si>
    <r>
      <rPr>
        <sz val="8"/>
        <rFont val="ＭＳ ゴシック"/>
        <family val="3"/>
        <charset val="128"/>
      </rPr>
      <t>[ア　棚田等の保全]</t>
    </r>
    <r>
      <rPr>
        <sz val="8"/>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3"/>
  </si>
  <si>
    <r>
      <rPr>
        <sz val="8"/>
        <rFont val="ＭＳ ゴシック"/>
        <family val="3"/>
        <charset val="128"/>
      </rPr>
      <t>[イ　棚田等の保全を通じた多面にわたる機能の維持・発揮]</t>
    </r>
    <r>
      <rPr>
        <sz val="8"/>
        <color rgb="FFFF0000"/>
        <rFont val="ＭＳ ゴシック"/>
        <family val="3"/>
        <charset val="128"/>
      </rPr>
      <t xml:space="preserve">
例) 【生産性向上】食味基準を設ける等により品質向上を図り棚田米の販売量/額を〇t /円 から〇t /円に増加させる。</t>
    </r>
    <phoneticPr fontId="3"/>
  </si>
  <si>
    <r>
      <rPr>
        <sz val="8"/>
        <rFont val="ＭＳ ゴシック"/>
        <family val="3"/>
        <charset val="128"/>
      </rPr>
      <t>[ウ　棚田を核とした棚田地域の振興]</t>
    </r>
    <r>
      <rPr>
        <sz val="8"/>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3"/>
  </si>
  <si>
    <r>
      <rPr>
        <sz val="8"/>
        <rFont val="ＭＳ ゴシック"/>
        <family val="3"/>
        <charset val="128"/>
      </rPr>
      <t>［超急傾斜農地の保全］</t>
    </r>
    <r>
      <rPr>
        <sz val="8"/>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8"/>
        <rFont val="ＭＳ ゴシック"/>
        <family val="3"/>
        <charset val="128"/>
      </rPr>
      <t>［農産物の販売促進等］</t>
    </r>
    <r>
      <rPr>
        <sz val="8"/>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</si>
  <si>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r>
      <rPr>
        <sz val="8"/>
        <rFont val="ＭＳ ゴシック"/>
        <family val="3"/>
        <charset val="128"/>
      </rPr>
      <t>［ネットワーク化・統合等により実現する農業生産活動等の継続のための取組］</t>
    </r>
    <r>
      <rPr>
        <sz val="8"/>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</si>
  <si>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8"/>
        <rFont val="ＭＳ ゴシック"/>
        <family val="3"/>
        <charset val="128"/>
      </rPr>
      <t>[スマート農業による作業の省力化・効率化を図る取組]</t>
    </r>
    <r>
      <rPr>
        <sz val="8"/>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</si>
  <si>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r>
      <rPr>
        <sz val="8"/>
        <rFont val="ＭＳ ゴシック"/>
        <family val="3"/>
        <charset val="128"/>
      </rPr>
      <t>［新たな人材の確保に関する取組］</t>
    </r>
    <r>
      <rPr>
        <sz val="8"/>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8"/>
        <rFont val="ＭＳ ゴシック"/>
        <family val="3"/>
        <charset val="128"/>
      </rPr>
      <t xml:space="preserve">[集落機能を強化する取組]
</t>
    </r>
    <r>
      <rPr>
        <sz val="8"/>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</si>
</sst>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s>
  <fonts count="18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b/>
      <u/>
      <sz val="10"/>
      <color rgb="FFFF0000"/>
      <name val="HG丸ｺﾞｼｯｸM-PRO"/>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10"/>
      <color theme="1"/>
      <name val="HG丸ｺﾞｼｯｸM-PRO"/>
      <family val="3"/>
      <charset val="128"/>
    </font>
    <font>
      <sz val="9"/>
      <name val="メイリオ"/>
      <family val="3"/>
      <charset val="128"/>
    </font>
    <font>
      <b/>
      <sz val="24"/>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2"/>
      <name val="Meiryo UI"/>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8"/>
      <color rgb="FFFF0000"/>
      <name val="ＭＳ 明朝"/>
      <family val="1"/>
      <charset val="128"/>
    </font>
    <font>
      <sz val="6"/>
      <color rgb="FFFF0000"/>
      <name val="ＭＳ 明朝"/>
      <family val="1"/>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
      <sz val="12"/>
      <color theme="0"/>
      <name val="メイリオ"/>
      <family val="3"/>
      <charset val="128"/>
    </font>
    <font>
      <sz val="11"/>
      <color rgb="FFFF0000"/>
      <name val="メイリオ"/>
      <family val="3"/>
      <charset val="128"/>
    </font>
    <font>
      <b/>
      <sz val="20"/>
      <color rgb="FF0000FF"/>
      <name val="ＭＳ Ｐゴシック"/>
      <family val="3"/>
      <charset val="128"/>
    </font>
    <font>
      <b/>
      <sz val="11"/>
      <color theme="1"/>
      <name val="ＭＳ 明朝"/>
      <family val="1"/>
      <charset val="128"/>
    </font>
    <font>
      <b/>
      <sz val="20"/>
      <name val="ＭＳ Ｐゴシック"/>
      <family val="3"/>
      <charset val="128"/>
    </font>
    <font>
      <u/>
      <sz val="11"/>
      <color rgb="FFFF0000"/>
      <name val="ＭＳ 明朝"/>
      <family val="1"/>
      <charset val="128"/>
    </font>
    <font>
      <sz val="11"/>
      <name val="ＭＳ Ｐゴシック"/>
      <family val="3"/>
    </font>
    <font>
      <sz val="12"/>
      <name val="ＭＳ Ｐゴシック"/>
      <family val="3"/>
    </font>
    <font>
      <sz val="8"/>
      <name val="ＭＳ Ｐゴシック"/>
      <family val="3"/>
    </font>
    <font>
      <sz val="6"/>
      <name val="ＭＳ Ｐゴシック"/>
      <family val="3"/>
    </font>
    <font>
      <sz val="16"/>
      <name val="ＭＳ Ｐゴシック"/>
      <family val="3"/>
    </font>
    <font>
      <sz val="14"/>
      <name val="ＭＳ Ｐゴシック"/>
      <family val="3"/>
    </font>
    <font>
      <b/>
      <sz val="26"/>
      <name val="ＭＳ Ｐゴシック"/>
      <family val="3"/>
    </font>
    <font>
      <b/>
      <sz val="11"/>
      <name val="ＭＳ Ｐゴシック"/>
      <family val="3"/>
    </font>
    <font>
      <b/>
      <sz val="12"/>
      <name val="ＭＳ Ｐゴシック"/>
      <family val="3"/>
    </font>
    <font>
      <b/>
      <sz val="9"/>
      <name val="ＭＳ Ｐゴシック"/>
      <family val="3"/>
    </font>
    <font>
      <b/>
      <sz val="16"/>
      <name val="ＭＳ Ｐゴシック"/>
      <family val="3"/>
    </font>
    <font>
      <sz val="20"/>
      <name val="ＭＳ Ｐゴシック"/>
      <family val="3"/>
    </font>
    <font>
      <b/>
      <sz val="11"/>
      <color rgb="FFFF0000"/>
      <name val="ＭＳ Ｐゴシック"/>
      <family val="3"/>
    </font>
    <font>
      <sz val="10"/>
      <name val="ＭＳ Ｐゴシック"/>
      <family val="3"/>
    </font>
    <font>
      <b/>
      <sz val="11"/>
      <color rgb="FF00B0F0"/>
      <name val="ＭＳ Ｐゴシック"/>
      <family val="3"/>
    </font>
    <font>
      <sz val="14"/>
      <name val="ＭＳ Ｐゴシック"/>
      <family val="3"/>
      <charset val="128"/>
    </font>
    <font>
      <b/>
      <sz val="14"/>
      <name val="ＭＳ Ｐゴシック"/>
      <family val="3"/>
      <charset val="128"/>
    </font>
    <font>
      <b/>
      <sz val="11"/>
      <color rgb="FF0000FF"/>
      <name val="ＭＳ 明朝"/>
      <family val="1"/>
      <charset val="128"/>
    </font>
    <font>
      <sz val="8"/>
      <color theme="0"/>
      <name val="メイリオ"/>
      <family val="3"/>
      <charset val="128"/>
    </font>
    <font>
      <sz val="8"/>
      <name val="HG丸ｺﾞｼｯｸM-PRO"/>
      <family val="3"/>
      <charset val="128"/>
    </font>
    <font>
      <sz val="8"/>
      <color rgb="FFFF0000"/>
      <name val="ＭＳ ゴシック"/>
      <family val="3"/>
      <charset val="128"/>
    </font>
  </fonts>
  <fills count="2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2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theme="1"/>
      </right>
      <top/>
      <bottom/>
      <diagonal/>
    </border>
    <border>
      <left style="medium">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bottom style="medium">
        <color rgb="FFFF0000"/>
      </bottom>
      <diagonal/>
    </border>
    <border>
      <left style="medium">
        <color rgb="FFFF0000"/>
      </left>
      <right style="medium">
        <color rgb="FFFF0000"/>
      </right>
      <top style="medium">
        <color rgb="FFFF0000"/>
      </top>
      <bottom style="thin">
        <color theme="1"/>
      </bottom>
      <diagonal/>
    </border>
    <border>
      <left style="medium">
        <color rgb="FF00B0F0"/>
      </left>
      <right style="medium">
        <color rgb="FF00B0F0"/>
      </right>
      <top style="medium">
        <color rgb="FF00B0F0"/>
      </top>
      <bottom style="thin">
        <color theme="1"/>
      </bottom>
      <diagonal/>
    </border>
    <border>
      <left style="medium">
        <color rgb="FFFF0000"/>
      </left>
      <right style="medium">
        <color rgb="FFFF0000"/>
      </right>
      <top style="thin">
        <color theme="1"/>
      </top>
      <bottom/>
      <diagonal/>
    </border>
    <border>
      <left style="medium">
        <color rgb="FF00B0F0"/>
      </left>
      <right style="medium">
        <color rgb="FF00B0F0"/>
      </right>
      <top style="thin">
        <color theme="1"/>
      </top>
      <bottom/>
      <diagonal/>
    </border>
    <border>
      <left style="medium">
        <color rgb="FFFF0000"/>
      </left>
      <right style="medium">
        <color rgb="FFFF0000"/>
      </right>
      <top style="thin">
        <color theme="1"/>
      </top>
      <bottom style="medium">
        <color rgb="FFFF0000"/>
      </bottom>
      <diagonal/>
    </border>
    <border>
      <left style="medium">
        <color rgb="FF00B0F0"/>
      </left>
      <right style="medium">
        <color rgb="FF00B0F0"/>
      </right>
      <top style="thin">
        <color theme="1"/>
      </top>
      <bottom style="medium">
        <color rgb="FF00B0F0"/>
      </bottom>
      <diagonal/>
    </border>
    <border>
      <left style="medium">
        <color rgb="FFFF0000"/>
      </left>
      <right style="medium">
        <color rgb="FFFF0000"/>
      </right>
      <top/>
      <bottom style="thin">
        <color theme="1"/>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F0"/>
      </left>
      <right style="medium">
        <color rgb="FF00B0F0"/>
      </right>
      <top/>
      <bottom style="thin">
        <color theme="1"/>
      </bottom>
      <diagonal/>
    </border>
    <border>
      <left style="medium">
        <color rgb="FF00B0F0"/>
      </left>
      <right style="medium">
        <color rgb="FF00B0F0"/>
      </right>
      <top/>
      <bottom style="medium">
        <color rgb="FF00B0F0"/>
      </bottom>
      <diagonal/>
    </border>
    <border>
      <left style="medium">
        <color rgb="FFFF0000"/>
      </left>
      <right style="medium">
        <color rgb="FFFF0000"/>
      </right>
      <top style="thin">
        <color theme="1"/>
      </top>
      <bottom style="thin">
        <color theme="1"/>
      </bottom>
      <diagonal/>
    </border>
    <border>
      <left style="medium">
        <color rgb="FF00B0F0"/>
      </left>
      <right style="medium">
        <color rgb="FF00B0F0"/>
      </right>
      <top style="thin">
        <color theme="1"/>
      </top>
      <bottom style="thin">
        <color theme="1"/>
      </bottom>
      <diagonal/>
    </border>
    <border>
      <left style="medium">
        <color rgb="FF00B0F0"/>
      </left>
      <right style="medium">
        <color rgb="FF00B0F0"/>
      </right>
      <top/>
      <bottom/>
      <diagonal/>
    </border>
    <border>
      <left style="medium">
        <color rgb="FFFF0000"/>
      </left>
      <right style="medium">
        <color rgb="FFFF0000"/>
      </right>
      <top/>
      <bottom/>
      <diagonal/>
    </border>
    <border>
      <left style="medium">
        <color rgb="FF00B0F0"/>
      </left>
      <right style="medium">
        <color rgb="FF00B0F0"/>
      </right>
      <top style="thin">
        <color auto="1"/>
      </top>
      <bottom style="thin">
        <color auto="1"/>
      </bottom>
      <diagonal/>
    </border>
    <border>
      <left style="medium">
        <color rgb="FF00B0F0"/>
      </left>
      <right style="medium">
        <color rgb="FF00B0F0"/>
      </right>
      <top style="thin">
        <color auto="1"/>
      </top>
      <bottom style="medium">
        <color rgb="FF00B0F0"/>
      </bottom>
      <diagonal/>
    </border>
    <border>
      <left style="medium">
        <color rgb="FFFF0000"/>
      </left>
      <right style="medium">
        <color rgb="FFFF0000"/>
      </right>
      <top style="thin">
        <color auto="1"/>
      </top>
      <bottom style="thin">
        <color auto="1"/>
      </bottom>
      <diagonal/>
    </border>
    <border>
      <left style="medium">
        <color rgb="FFFF0000"/>
      </left>
      <right style="medium">
        <color rgb="FFFF0000"/>
      </right>
      <top style="thin">
        <color auto="1"/>
      </top>
      <bottom style="medium">
        <color rgb="FFFF0000"/>
      </bottom>
      <diagonal/>
    </border>
    <border>
      <left/>
      <right/>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style="medium">
        <color rgb="FF00B050"/>
      </bottom>
      <diagonal/>
    </border>
    <border>
      <left/>
      <right style="medium">
        <color rgb="FF00B050"/>
      </right>
      <top/>
      <bottom style="medium">
        <color rgb="FF00B050"/>
      </bottom>
      <diagonal/>
    </border>
  </borders>
  <cellStyleXfs count="26">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46" fillId="0" borderId="0" applyNumberFormat="0" applyFill="0" applyBorder="0" applyAlignment="0" applyProtection="0">
      <alignment vertical="center"/>
    </xf>
    <xf numFmtId="0" fontId="154"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4" fillId="0" borderId="0">
      <alignment vertical="center"/>
    </xf>
    <xf numFmtId="0" fontId="167" fillId="0" borderId="0">
      <alignment vertical="center"/>
    </xf>
  </cellStyleXfs>
  <cellXfs count="2606">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xf>
    <xf numFmtId="177" fontId="6" fillId="0" borderId="0" xfId="0" applyNumberFormat="1" applyFont="1" applyAlignment="1">
      <alignment horizontal="left" vertical="center"/>
    </xf>
    <xf numFmtId="0" fontId="6"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top"/>
    </xf>
    <xf numFmtId="0" fontId="7" fillId="0" borderId="0" xfId="0" applyFont="1" applyAlignment="1">
      <alignment horizontal="center" vertical="center"/>
    </xf>
    <xf numFmtId="0" fontId="6" fillId="0" borderId="8" xfId="0" applyFont="1" applyBorder="1">
      <alignment vertical="center"/>
    </xf>
    <xf numFmtId="0" fontId="13" fillId="0" borderId="0" xfId="0" applyFont="1">
      <alignment vertical="center"/>
    </xf>
    <xf numFmtId="0" fontId="16" fillId="0" borderId="0" xfId="0" applyFont="1">
      <alignment vertical="center"/>
    </xf>
    <xf numFmtId="0" fontId="12" fillId="0" borderId="0" xfId="0" applyFont="1">
      <alignment vertical="center"/>
    </xf>
    <xf numFmtId="0" fontId="7" fillId="6" borderId="0" xfId="0" applyFont="1" applyFill="1">
      <alignment vertical="center"/>
    </xf>
    <xf numFmtId="0" fontId="6" fillId="6" borderId="0" xfId="0" applyFont="1" applyFill="1">
      <alignment vertical="center"/>
    </xf>
    <xf numFmtId="0" fontId="6" fillId="0" borderId="52" xfId="0" applyFont="1" applyBorder="1">
      <alignment vertical="center"/>
    </xf>
    <xf numFmtId="0" fontId="6" fillId="0" borderId="40" xfId="0" applyFont="1" applyBorder="1">
      <alignment vertical="center"/>
    </xf>
    <xf numFmtId="0" fontId="6" fillId="0" borderId="53" xfId="0" applyFont="1" applyBorder="1">
      <alignment vertical="center"/>
    </xf>
    <xf numFmtId="0" fontId="6" fillId="0" borderId="48" xfId="0" applyFont="1" applyBorder="1">
      <alignment vertical="center"/>
    </xf>
    <xf numFmtId="0" fontId="6" fillId="0" borderId="54" xfId="0" applyFont="1" applyBorder="1">
      <alignment vertical="center"/>
    </xf>
    <xf numFmtId="0" fontId="6" fillId="0" borderId="55" xfId="0" applyFont="1" applyBorder="1">
      <alignment vertical="center"/>
    </xf>
    <xf numFmtId="0" fontId="11" fillId="0" borderId="1" xfId="0" applyFont="1" applyBorder="1">
      <alignment vertical="center"/>
    </xf>
    <xf numFmtId="0" fontId="27" fillId="0" borderId="0" xfId="0" applyFont="1">
      <alignment vertical="center"/>
    </xf>
    <xf numFmtId="0" fontId="6" fillId="7" borderId="12" xfId="0" applyFont="1" applyFill="1" applyBorder="1">
      <alignment vertical="center"/>
    </xf>
    <xf numFmtId="0" fontId="6" fillId="7" borderId="9" xfId="0" applyFont="1" applyFill="1" applyBorder="1">
      <alignment vertical="center"/>
    </xf>
    <xf numFmtId="0" fontId="6" fillId="7" borderId="6" xfId="0" applyFont="1" applyFill="1" applyBorder="1">
      <alignment vertical="center"/>
    </xf>
    <xf numFmtId="0" fontId="6" fillId="7" borderId="10" xfId="0" applyFont="1" applyFill="1" applyBorder="1">
      <alignment vertical="center"/>
    </xf>
    <xf numFmtId="0" fontId="6" fillId="7" borderId="11" xfId="0" applyFont="1" applyFill="1" applyBorder="1">
      <alignment vertical="center"/>
    </xf>
    <xf numFmtId="0" fontId="6" fillId="7" borderId="0" xfId="0" applyFont="1" applyFill="1">
      <alignment vertical="center"/>
    </xf>
    <xf numFmtId="0" fontId="6" fillId="7" borderId="8" xfId="0" applyFont="1" applyFill="1" applyBorder="1">
      <alignment vertical="center"/>
    </xf>
    <xf numFmtId="0" fontId="6" fillId="7" borderId="5" xfId="0" applyFont="1" applyFill="1" applyBorder="1">
      <alignment vertical="center"/>
    </xf>
    <xf numFmtId="0" fontId="6" fillId="7" borderId="13" xfId="0" applyFont="1" applyFill="1" applyBorder="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6" fillId="0" borderId="0" xfId="15" applyFont="1" applyAlignment="1" applyProtection="1">
      <protection locked="0"/>
    </xf>
    <xf numFmtId="0" fontId="33" fillId="0" borderId="0" xfId="15" applyFont="1" applyAlignment="1" applyProtection="1">
      <alignment vertical="center" wrapText="1"/>
      <protection locked="0"/>
    </xf>
    <xf numFmtId="0" fontId="33" fillId="0" borderId="0" xfId="0" applyFont="1" applyAlignment="1">
      <alignment vertical="center" wrapText="1"/>
    </xf>
    <xf numFmtId="0" fontId="33" fillId="0" borderId="0" xfId="15" applyFont="1" applyAlignment="1" applyProtection="1">
      <alignment horizontal="center" vertical="center" textRotation="255" wrapText="1"/>
      <protection locked="0"/>
    </xf>
    <xf numFmtId="0" fontId="33" fillId="0" borderId="0" xfId="0" applyFont="1" applyAlignment="1">
      <alignment horizontal="center" vertical="center" textRotation="255" wrapText="1"/>
    </xf>
    <xf numFmtId="0" fontId="26" fillId="0" borderId="0" xfId="15" applyFont="1" applyProtection="1">
      <alignment vertical="center"/>
      <protection locked="0"/>
    </xf>
    <xf numFmtId="0" fontId="22" fillId="0" borderId="0" xfId="15" applyFont="1" applyAlignment="1" applyProtection="1">
      <alignment horizontal="center" vertical="center"/>
      <protection locked="0"/>
    </xf>
    <xf numFmtId="0" fontId="25" fillId="0" borderId="0" xfId="15" applyFont="1" applyProtection="1">
      <alignment vertical="center"/>
      <protection locked="0"/>
    </xf>
    <xf numFmtId="0" fontId="35" fillId="0" borderId="0" xfId="15" applyFont="1" applyProtection="1">
      <alignment vertical="center"/>
      <protection locked="0"/>
    </xf>
    <xf numFmtId="0" fontId="35" fillId="0" borderId="0" xfId="0" applyFont="1" applyAlignment="1">
      <alignment horizontal="left" vertical="center" wrapText="1"/>
    </xf>
    <xf numFmtId="0" fontId="37" fillId="0" borderId="0" xfId="15" applyFont="1" applyProtection="1">
      <alignment vertical="center"/>
      <protection locked="0"/>
    </xf>
    <xf numFmtId="0" fontId="35" fillId="0" borderId="0" xfId="0" applyFo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9"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50" fillId="0" borderId="0" xfId="0" applyFont="1">
      <alignment vertical="center"/>
    </xf>
    <xf numFmtId="0" fontId="6" fillId="3" borderId="0" xfId="0" applyFont="1" applyFill="1">
      <alignment vertical="center"/>
    </xf>
    <xf numFmtId="0" fontId="7" fillId="3" borderId="0" xfId="0" applyFont="1" applyFill="1">
      <alignment vertical="center"/>
    </xf>
    <xf numFmtId="0" fontId="11" fillId="0" borderId="46" xfId="0" applyFont="1" applyBorder="1">
      <alignment vertical="center"/>
    </xf>
    <xf numFmtId="0" fontId="11" fillId="0" borderId="0" xfId="0" applyFont="1">
      <alignment vertical="center"/>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55" fillId="0" borderId="0" xfId="0" applyFont="1" applyAlignment="1">
      <alignment horizontal="right" vertical="center"/>
    </xf>
    <xf numFmtId="0" fontId="9" fillId="0" borderId="8" xfId="0" applyFont="1" applyBorder="1">
      <alignment vertical="center"/>
    </xf>
    <xf numFmtId="0" fontId="0" fillId="0" borderId="46" xfId="0" applyBorder="1">
      <alignment vertical="center"/>
    </xf>
    <xf numFmtId="0" fontId="0" fillId="2" borderId="46" xfId="0" applyFill="1" applyBorder="1">
      <alignment vertical="center"/>
    </xf>
    <xf numFmtId="0" fontId="57" fillId="0" borderId="46" xfId="0" applyFont="1" applyBorder="1">
      <alignment vertical="center"/>
    </xf>
    <xf numFmtId="58" fontId="34"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8" fillId="0" borderId="0" xfId="0" applyFont="1" applyAlignment="1">
      <alignment horizontal="left" vertical="center" wrapText="1"/>
    </xf>
    <xf numFmtId="184" fontId="6" fillId="0" borderId="0" xfId="0" applyNumberFormat="1" applyFont="1">
      <alignment vertical="center"/>
    </xf>
    <xf numFmtId="0" fontId="68" fillId="0" borderId="0" xfId="0" applyFont="1">
      <alignment vertical="center"/>
    </xf>
    <xf numFmtId="0" fontId="69" fillId="0" borderId="0" xfId="0" applyFont="1">
      <alignment vertical="center"/>
    </xf>
    <xf numFmtId="0" fontId="70" fillId="0" borderId="0" xfId="15" applyFont="1" applyAlignment="1" applyProtection="1">
      <alignment horizontal="center" vertical="center"/>
      <protection locked="0"/>
    </xf>
    <xf numFmtId="0" fontId="44"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lignment horizontal="left" vertical="center"/>
    </xf>
    <xf numFmtId="0" fontId="8" fillId="0" borderId="0" xfId="14" applyFont="1" applyAlignment="1">
      <alignment horizontal="left" vertical="center"/>
    </xf>
    <xf numFmtId="0" fontId="8" fillId="0" borderId="0" xfId="14" applyFont="1" applyAlignment="1">
      <alignment horizontal="left" vertical="center" wrapText="1"/>
    </xf>
    <xf numFmtId="0" fontId="44" fillId="3" borderId="0" xfId="14" applyFont="1" applyFill="1" applyAlignment="1">
      <alignment horizontal="center" vertical="center" wrapText="1"/>
    </xf>
    <xf numFmtId="0" fontId="4" fillId="3" borderId="0" xfId="0" applyFont="1" applyFill="1" applyAlignment="1">
      <alignment horizontal="center" vertical="center" wrapText="1"/>
    </xf>
    <xf numFmtId="0" fontId="44"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left" vertical="center" wrapText="1"/>
    </xf>
    <xf numFmtId="0" fontId="44" fillId="2" borderId="48" xfId="0" applyFont="1" applyFill="1" applyBorder="1" applyAlignment="1">
      <alignment horizontal="left" vertical="center" wrapText="1"/>
    </xf>
    <xf numFmtId="0" fontId="42" fillId="8" borderId="57" xfId="0" applyFont="1" applyFill="1" applyBorder="1" applyAlignment="1">
      <alignment horizontal="center" vertical="center"/>
    </xf>
    <xf numFmtId="0" fontId="42" fillId="9" borderId="27" xfId="0" applyFont="1" applyFill="1" applyBorder="1" applyAlignment="1">
      <alignment horizontal="center" vertical="center" wrapText="1"/>
    </xf>
    <xf numFmtId="0" fontId="59" fillId="9" borderId="27" xfId="0" applyFont="1" applyFill="1" applyBorder="1" applyAlignment="1">
      <alignment horizontal="center" vertical="center" wrapText="1"/>
    </xf>
    <xf numFmtId="38" fontId="24" fillId="0" borderId="0" xfId="0" applyNumberFormat="1" applyFont="1" applyAlignment="1">
      <alignment horizontal="left" vertical="center" shrinkToFit="1"/>
    </xf>
    <xf numFmtId="0" fontId="0" fillId="0" borderId="48" xfId="0" applyBorder="1" applyAlignment="1">
      <alignment horizontal="center" vertical="center"/>
    </xf>
    <xf numFmtId="0" fontId="39" fillId="8" borderId="46" xfId="0" applyFont="1" applyFill="1" applyBorder="1" applyAlignment="1">
      <alignment horizontal="center" vertical="center"/>
    </xf>
    <xf numFmtId="0" fontId="39" fillId="8" borderId="51" xfId="0" applyFont="1" applyFill="1" applyBorder="1" applyAlignment="1">
      <alignment horizontal="center" vertical="center"/>
    </xf>
    <xf numFmtId="0" fontId="45" fillId="0" borderId="0" xfId="0" applyFont="1" applyAlignment="1">
      <alignment horizontal="left" vertical="center"/>
    </xf>
    <xf numFmtId="0" fontId="24" fillId="0" borderId="0" xfId="0" applyFont="1" applyAlignment="1">
      <alignment horizontal="left" vertical="center" wrapText="1"/>
    </xf>
    <xf numFmtId="0" fontId="24" fillId="0" borderId="0" xfId="0" applyFont="1">
      <alignment vertical="center"/>
    </xf>
    <xf numFmtId="0" fontId="39" fillId="7" borderId="48" xfId="0" applyFont="1" applyFill="1" applyBorder="1" applyAlignment="1">
      <alignment horizontal="left" vertical="center" shrinkToFit="1"/>
    </xf>
    <xf numFmtId="0" fontId="44" fillId="0" borderId="0" xfId="14" applyFont="1" applyAlignment="1">
      <alignment horizontal="left" vertical="center"/>
    </xf>
    <xf numFmtId="0" fontId="45" fillId="0" borderId="0" xfId="0" applyFont="1" applyAlignment="1">
      <alignment horizontal="right" vertical="center"/>
    </xf>
    <xf numFmtId="0" fontId="44" fillId="0" borderId="0" xfId="14" applyFont="1" applyAlignment="1">
      <alignment horizontal="left" vertical="center" wrapText="1"/>
    </xf>
    <xf numFmtId="0" fontId="45" fillId="0" borderId="0" xfId="0" applyFont="1" applyAlignment="1">
      <alignment horizontal="right" vertical="top" wrapText="1"/>
    </xf>
    <xf numFmtId="0" fontId="9" fillId="8" borderId="51" xfId="14" applyFont="1" applyFill="1" applyBorder="1" applyAlignment="1">
      <alignment horizontal="center" vertical="center"/>
    </xf>
    <xf numFmtId="0" fontId="9" fillId="8" borderId="47" xfId="14" applyFont="1" applyFill="1" applyBorder="1" applyAlignment="1">
      <alignment horizontal="center" vertical="center"/>
    </xf>
    <xf numFmtId="0" fontId="0" fillId="0" borderId="50" xfId="0" applyBorder="1" applyAlignment="1">
      <alignment horizontal="left" vertical="center" wrapText="1"/>
    </xf>
    <xf numFmtId="0" fontId="49" fillId="8" borderId="46" xfId="0" applyFont="1" applyFill="1" applyBorder="1" applyAlignment="1">
      <alignment horizontal="center" vertical="center"/>
    </xf>
    <xf numFmtId="0" fontId="49" fillId="3" borderId="9" xfId="0" applyFont="1" applyFill="1" applyBorder="1" applyAlignment="1">
      <alignment horizontal="center" vertical="center" wrapText="1"/>
    </xf>
    <xf numFmtId="0" fontId="48" fillId="3" borderId="50" xfId="0" applyFont="1" applyFill="1" applyBorder="1" applyAlignment="1">
      <alignment horizontal="center" vertical="center"/>
    </xf>
    <xf numFmtId="0" fontId="49" fillId="7" borderId="51" xfId="0" applyFont="1" applyFill="1" applyBorder="1" applyAlignment="1">
      <alignment horizontal="center" vertical="top"/>
    </xf>
    <xf numFmtId="0" fontId="49" fillId="3" borderId="11" xfId="0" applyFont="1" applyFill="1" applyBorder="1" applyAlignment="1">
      <alignment horizontal="center" vertical="top" wrapText="1"/>
    </xf>
    <xf numFmtId="0" fontId="49" fillId="3" borderId="0" xfId="0" applyFont="1" applyFill="1" applyAlignment="1">
      <alignment horizontal="center" vertical="center"/>
    </xf>
    <xf numFmtId="0" fontId="49" fillId="3" borderId="8" xfId="0" applyFont="1" applyFill="1" applyBorder="1" applyAlignment="1">
      <alignment horizontal="center" vertical="top"/>
    </xf>
    <xf numFmtId="0" fontId="49" fillId="7" borderId="7" xfId="0" applyFont="1" applyFill="1" applyBorder="1" applyAlignment="1">
      <alignment horizontal="center" vertical="top"/>
    </xf>
    <xf numFmtId="0" fontId="49" fillId="3" borderId="11" xfId="0" applyFont="1" applyFill="1" applyBorder="1" applyAlignment="1">
      <alignment horizontal="center" vertical="center" wrapText="1"/>
    </xf>
    <xf numFmtId="0" fontId="48" fillId="3" borderId="8" xfId="0" applyFont="1" applyFill="1" applyBorder="1" applyAlignment="1">
      <alignment horizontal="center" vertical="center"/>
    </xf>
    <xf numFmtId="0" fontId="49" fillId="7" borderId="3" xfId="0" applyFont="1" applyFill="1" applyBorder="1" applyAlignment="1">
      <alignment horizontal="center" vertical="top"/>
    </xf>
    <xf numFmtId="0" fontId="49" fillId="7" borderId="46" xfId="0" applyFont="1" applyFill="1" applyBorder="1" applyAlignment="1">
      <alignment horizontal="center" vertical="top"/>
    </xf>
    <xf numFmtId="0" fontId="49" fillId="3" borderId="5" xfId="0" applyFont="1" applyFill="1" applyBorder="1" applyAlignment="1">
      <alignment horizontal="center" vertical="top" wrapText="1"/>
    </xf>
    <xf numFmtId="0" fontId="49" fillId="3" borderId="12" xfId="0" applyFont="1" applyFill="1" applyBorder="1" applyAlignment="1">
      <alignment horizontal="center" vertical="top"/>
    </xf>
    <xf numFmtId="0" fontId="49" fillId="3" borderId="13" xfId="0" applyFont="1" applyFill="1" applyBorder="1" applyAlignment="1">
      <alignment horizontal="center" vertical="top"/>
    </xf>
    <xf numFmtId="0" fontId="49" fillId="7" borderId="47" xfId="0" applyFont="1" applyFill="1" applyBorder="1" applyAlignment="1">
      <alignment horizontal="center" vertical="top"/>
    </xf>
    <xf numFmtId="0" fontId="8" fillId="0" borderId="0" xfId="14" applyFont="1" applyAlignment="1">
      <alignment horizontal="center" vertical="center"/>
    </xf>
    <xf numFmtId="0" fontId="24" fillId="0" borderId="0" xfId="0" applyFont="1" applyAlignment="1">
      <alignment horizontal="center" vertical="center"/>
    </xf>
    <xf numFmtId="0" fontId="45" fillId="0" borderId="0" xfId="0" applyFont="1" applyAlignment="1">
      <alignment horizontal="right" vertical="top"/>
    </xf>
    <xf numFmtId="0" fontId="0" fillId="0" borderId="0" xfId="0" applyProtection="1">
      <alignment vertical="center"/>
      <protection locked="0"/>
    </xf>
    <xf numFmtId="0" fontId="65" fillId="0" borderId="0" xfId="0" applyFont="1" applyProtection="1">
      <alignment vertical="center"/>
      <protection locked="0"/>
    </xf>
    <xf numFmtId="0" fontId="66" fillId="0" borderId="0" xfId="0" applyFont="1">
      <alignment vertical="center"/>
    </xf>
    <xf numFmtId="0" fontId="65" fillId="0" borderId="0" xfId="0" applyFont="1">
      <alignment vertical="center"/>
    </xf>
    <xf numFmtId="0" fontId="8" fillId="0" borderId="0" xfId="0" applyFont="1" applyAlignment="1">
      <alignment vertical="top"/>
    </xf>
    <xf numFmtId="0" fontId="65" fillId="0" borderId="0" xfId="0" applyFont="1" applyAlignment="1">
      <alignment vertical="top"/>
    </xf>
    <xf numFmtId="40" fontId="0" fillId="0" borderId="0" xfId="0" applyNumberFormat="1">
      <alignment vertical="center"/>
    </xf>
    <xf numFmtId="0" fontId="44" fillId="3" borderId="57" xfId="0" applyFont="1" applyFill="1" applyBorder="1" applyAlignment="1">
      <alignment horizontal="center" vertical="center" wrapText="1"/>
    </xf>
    <xf numFmtId="0" fontId="44" fillId="3" borderId="67" xfId="0" applyFont="1" applyFill="1" applyBorder="1" applyAlignment="1">
      <alignment vertical="center" wrapText="1"/>
    </xf>
    <xf numFmtId="38" fontId="44" fillId="5" borderId="27" xfId="2" applyFont="1" applyFill="1" applyBorder="1" applyAlignment="1" applyProtection="1">
      <alignment vertical="center" shrinkToFit="1"/>
    </xf>
    <xf numFmtId="0" fontId="44" fillId="3" borderId="68" xfId="0" applyFont="1" applyFill="1" applyBorder="1" applyAlignment="1">
      <alignment horizontal="center" vertical="center" wrapText="1"/>
    </xf>
    <xf numFmtId="0" fontId="44" fillId="3" borderId="67" xfId="0" applyFont="1" applyFill="1" applyBorder="1" applyAlignment="1">
      <alignment horizontal="center" vertical="center" wrapText="1"/>
    </xf>
    <xf numFmtId="38" fontId="44" fillId="3" borderId="68" xfId="0" applyNumberFormat="1" applyFont="1" applyFill="1" applyBorder="1" applyAlignment="1">
      <alignment horizontal="center" vertical="center" wrapText="1"/>
    </xf>
    <xf numFmtId="0" fontId="44" fillId="3" borderId="69" xfId="0" applyFont="1" applyFill="1" applyBorder="1" applyAlignment="1">
      <alignment horizontal="center" vertical="center" wrapText="1"/>
    </xf>
    <xf numFmtId="38" fontId="0" fillId="0" borderId="0" xfId="0" applyNumberFormat="1">
      <alignment vertical="center"/>
    </xf>
    <xf numFmtId="0" fontId="4" fillId="14" borderId="0" xfId="0" applyFont="1" applyFill="1" applyAlignment="1">
      <alignment vertical="center" wrapText="1"/>
    </xf>
    <xf numFmtId="0" fontId="74" fillId="0" borderId="46"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4"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2" fillId="15" borderId="3" xfId="0" applyFont="1" applyFill="1" applyBorder="1">
      <alignment vertical="center"/>
    </xf>
    <xf numFmtId="195" fontId="74" fillId="15" borderId="27" xfId="0" applyNumberFormat="1" applyFont="1" applyFill="1" applyBorder="1" applyAlignment="1">
      <alignment horizontal="center" vertical="center" shrinkToFit="1"/>
    </xf>
    <xf numFmtId="38" fontId="10"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2" applyFont="1" applyFill="1" applyBorder="1" applyAlignment="1">
      <alignment vertical="center" shrinkToFit="1"/>
    </xf>
    <xf numFmtId="0" fontId="74" fillId="15" borderId="46" xfId="0" applyFont="1" applyFill="1" applyBorder="1" applyAlignment="1">
      <alignment horizontal="center" vertical="center" shrinkToFit="1"/>
    </xf>
    <xf numFmtId="38" fontId="10" fillId="15" borderId="3" xfId="2" applyFont="1" applyFill="1" applyBorder="1" applyAlignment="1">
      <alignment vertical="center" shrinkToFit="1"/>
    </xf>
    <xf numFmtId="38" fontId="3" fillId="15" borderId="46" xfId="2" applyFont="1" applyFill="1" applyBorder="1" applyAlignment="1">
      <alignment vertical="center" wrapText="1"/>
    </xf>
    <xf numFmtId="38" fontId="10" fillId="15" borderId="46" xfId="2" applyFont="1" applyFill="1" applyBorder="1" applyAlignment="1">
      <alignment vertical="center" wrapText="1"/>
    </xf>
    <xf numFmtId="196" fontId="3" fillId="15" borderId="46" xfId="0" applyNumberFormat="1" applyFont="1" applyFill="1" applyBorder="1" applyAlignment="1">
      <alignment vertical="center" wrapText="1"/>
    </xf>
    <xf numFmtId="195" fontId="74" fillId="15" borderId="51" xfId="0" applyNumberFormat="1" applyFont="1" applyFill="1" applyBorder="1" applyAlignment="1">
      <alignment horizontal="center" vertical="center" shrinkToFit="1"/>
    </xf>
    <xf numFmtId="0" fontId="74" fillId="15" borderId="51" xfId="0" applyFont="1" applyFill="1" applyBorder="1" applyAlignment="1">
      <alignment horizontal="center" vertical="center" shrinkToFit="1"/>
    </xf>
    <xf numFmtId="0" fontId="10" fillId="15" borderId="46" xfId="0" applyFont="1" applyFill="1" applyBorder="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74" fillId="3" borderId="46" xfId="0" applyFont="1" applyFill="1" applyBorder="1" applyAlignment="1">
      <alignment horizontal="center" vertical="center" shrinkToFit="1"/>
    </xf>
    <xf numFmtId="0" fontId="42" fillId="8" borderId="27" xfId="0" applyFont="1" applyFill="1" applyBorder="1" applyAlignment="1">
      <alignment horizontal="center" vertical="center" wrapText="1"/>
    </xf>
    <xf numFmtId="0" fontId="42" fillId="8" borderId="53" xfId="0" applyFont="1" applyFill="1" applyBorder="1" applyAlignment="1">
      <alignment horizontal="left" vertical="center"/>
    </xf>
    <xf numFmtId="0" fontId="42" fillId="8" borderId="48" xfId="0" applyFont="1" applyFill="1" applyBorder="1" applyAlignment="1">
      <alignment horizontal="left" vertical="center"/>
    </xf>
    <xf numFmtId="0" fontId="42" fillId="8" borderId="49" xfId="0" applyFont="1" applyFill="1" applyBorder="1" applyAlignment="1">
      <alignment horizontal="left" vertical="center"/>
    </xf>
    <xf numFmtId="0" fontId="42" fillId="8" borderId="88" xfId="0" applyFont="1" applyFill="1" applyBorder="1" applyAlignment="1">
      <alignment horizontal="center" vertical="center" wrapText="1"/>
    </xf>
    <xf numFmtId="0" fontId="79" fillId="0" borderId="0" xfId="0" applyFont="1">
      <alignment vertical="center"/>
    </xf>
    <xf numFmtId="0" fontId="37" fillId="0" borderId="0" xfId="15" applyFont="1" applyAlignment="1" applyProtection="1">
      <alignment vertical="top"/>
      <protection locked="0"/>
    </xf>
    <xf numFmtId="0" fontId="68" fillId="0" borderId="0" xfId="0" applyFont="1" applyAlignment="1">
      <alignment vertical="top"/>
    </xf>
    <xf numFmtId="0" fontId="25" fillId="0" borderId="0" xfId="0" applyFont="1" applyAlignment="1">
      <alignment vertical="top"/>
    </xf>
    <xf numFmtId="0" fontId="23" fillId="0" borderId="0" xfId="15" applyFont="1" applyProtection="1">
      <alignment vertical="center"/>
      <protection locked="0"/>
    </xf>
    <xf numFmtId="0" fontId="23" fillId="0" borderId="0" xfId="15" applyFont="1" applyAlignment="1" applyProtection="1">
      <alignment vertical="top"/>
      <protection locked="0"/>
    </xf>
    <xf numFmtId="0" fontId="23" fillId="0" borderId="0" xfId="15" applyFont="1" applyAlignment="1" applyProtection="1">
      <alignment vertical="top" wrapText="1"/>
      <protection locked="0"/>
    </xf>
    <xf numFmtId="0" fontId="33" fillId="0" borderId="11" xfId="0" applyFont="1" applyBorder="1" applyAlignment="1">
      <alignment horizontal="center" vertical="center"/>
    </xf>
    <xf numFmtId="0" fontId="8" fillId="0" borderId="101" xfId="0" applyFont="1" applyBorder="1" applyAlignment="1">
      <alignment horizontal="center" vertical="center" wrapText="1"/>
    </xf>
    <xf numFmtId="0" fontId="80" fillId="0" borderId="0" xfId="15" applyFont="1" applyAlignment="1" applyProtection="1">
      <alignment vertical="top"/>
      <protection locked="0"/>
    </xf>
    <xf numFmtId="0" fontId="44" fillId="0" borderId="0" xfId="0" applyFont="1">
      <alignment vertical="center"/>
    </xf>
    <xf numFmtId="0" fontId="44" fillId="0" borderId="0" xfId="0" applyFont="1" applyAlignment="1">
      <alignment vertical="center" wrapText="1"/>
    </xf>
    <xf numFmtId="0" fontId="8" fillId="0" borderId="0" xfId="0" applyFont="1" applyAlignment="1">
      <alignment horizontal="left" vertical="center" indent="1"/>
    </xf>
    <xf numFmtId="176" fontId="8" fillId="0" borderId="0" xfId="0" applyNumberFormat="1" applyFont="1">
      <alignment vertical="center"/>
    </xf>
    <xf numFmtId="176" fontId="8" fillId="0" borderId="0" xfId="0" applyNumberFormat="1" applyFont="1" applyAlignment="1">
      <alignment horizontal="center" vertical="center"/>
    </xf>
    <xf numFmtId="0" fontId="8" fillId="0" borderId="0" xfId="0" applyFont="1" applyAlignment="1">
      <alignment vertical="center" textRotation="255"/>
    </xf>
    <xf numFmtId="183" fontId="44" fillId="0" borderId="11" xfId="0" applyNumberFormat="1" applyFont="1" applyBorder="1" applyAlignment="1">
      <alignment horizontal="center" vertical="center"/>
    </xf>
    <xf numFmtId="0" fontId="9" fillId="7" borderId="5" xfId="0" applyFont="1" applyFill="1" applyBorder="1" applyAlignment="1">
      <alignment horizontal="right" vertical="center" shrinkToFit="1"/>
    </xf>
    <xf numFmtId="0" fontId="9" fillId="7" borderId="13" xfId="0" applyFont="1" applyFill="1" applyBorder="1" applyAlignment="1">
      <alignment horizontal="left" vertical="center" shrinkToFit="1"/>
    </xf>
    <xf numFmtId="0" fontId="9" fillId="0" borderId="0" xfId="0" applyFont="1" applyAlignment="1">
      <alignment horizontal="left" vertical="center"/>
    </xf>
    <xf numFmtId="0" fontId="9" fillId="0" borderId="0" xfId="0" applyFont="1" applyAlignment="1">
      <alignment horizontal="left" vertical="center" wrapText="1" shrinkToFit="1"/>
    </xf>
    <xf numFmtId="0" fontId="9" fillId="0" borderId="0" xfId="0" applyFont="1" applyAlignment="1">
      <alignment vertical="center" textRotation="255"/>
    </xf>
    <xf numFmtId="0" fontId="44" fillId="2" borderId="15" xfId="0" applyFont="1" applyFill="1" applyBorder="1">
      <alignment vertical="center"/>
    </xf>
    <xf numFmtId="0" fontId="44" fillId="2" borderId="48" xfId="0" applyFont="1" applyFill="1" applyBorder="1">
      <alignment vertical="center"/>
    </xf>
    <xf numFmtId="0" fontId="44" fillId="2" borderId="14" xfId="0" applyFont="1" applyFill="1" applyBorder="1">
      <alignment vertical="center"/>
    </xf>
    <xf numFmtId="0" fontId="44" fillId="2" borderId="6" xfId="0" applyFont="1" applyFill="1" applyBorder="1">
      <alignment vertical="center"/>
    </xf>
    <xf numFmtId="0" fontId="44" fillId="2" borderId="11" xfId="0" applyFont="1" applyFill="1" applyBorder="1" applyAlignment="1">
      <alignment vertical="center" wrapText="1"/>
    </xf>
    <xf numFmtId="186" fontId="81" fillId="5" borderId="25" xfId="2" applyNumberFormat="1" applyFont="1" applyFill="1" applyBorder="1" applyAlignment="1">
      <alignment horizontal="right" vertical="center" shrinkToFit="1"/>
    </xf>
    <xf numFmtId="187" fontId="81" fillId="5" borderId="26" xfId="0" applyNumberFormat="1" applyFont="1" applyFill="1" applyBorder="1" applyAlignment="1">
      <alignment horizontal="right" vertical="center" shrinkToFit="1"/>
    </xf>
    <xf numFmtId="0" fontId="44" fillId="0" borderId="0" xfId="0" applyFont="1" applyAlignment="1">
      <alignment vertical="center" textRotation="255"/>
    </xf>
    <xf numFmtId="0" fontId="44" fillId="3" borderId="0" xfId="0" applyFont="1" applyFill="1" applyAlignment="1">
      <alignment horizontal="center" vertical="center"/>
    </xf>
    <xf numFmtId="189" fontId="56" fillId="3" borderId="0" xfId="2" applyNumberFormat="1" applyFont="1" applyFill="1" applyBorder="1" applyAlignment="1">
      <alignment horizontal="right" vertical="center" wrapText="1"/>
    </xf>
    <xf numFmtId="182" fontId="81" fillId="3" borderId="0" xfId="2" applyNumberFormat="1" applyFont="1" applyFill="1" applyBorder="1" applyAlignment="1">
      <alignment horizontal="right" vertical="center" shrinkToFit="1"/>
    </xf>
    <xf numFmtId="0" fontId="44" fillId="2" borderId="11" xfId="0" applyFont="1" applyFill="1" applyBorder="1" applyAlignment="1">
      <alignment horizontal="center" vertical="center" wrapText="1" shrinkToFit="1"/>
    </xf>
    <xf numFmtId="189" fontId="81" fillId="3" borderId="0" xfId="2" applyNumberFormat="1" applyFont="1" applyFill="1" applyBorder="1" applyAlignment="1">
      <alignment horizontal="right" vertical="center" shrinkToFit="1"/>
    </xf>
    <xf numFmtId="0" fontId="44" fillId="2" borderId="5" xfId="0" applyFont="1" applyFill="1" applyBorder="1" applyAlignment="1">
      <alignment horizontal="center" vertical="center" wrapText="1" shrinkToFit="1"/>
    </xf>
    <xf numFmtId="0" fontId="8" fillId="0" borderId="0" xfId="0" applyFont="1" applyAlignment="1">
      <alignment horizontal="left" vertical="top" indent="1"/>
    </xf>
    <xf numFmtId="0" fontId="9" fillId="0" borderId="0" xfId="0" applyFont="1" applyAlignment="1">
      <alignment vertical="center" wrapText="1"/>
    </xf>
    <xf numFmtId="0" fontId="44" fillId="0" borderId="0" xfId="0" applyFont="1" applyAlignment="1"/>
    <xf numFmtId="0" fontId="44" fillId="0" borderId="0" xfId="0" applyFont="1" applyAlignment="1">
      <alignment horizontal="center" vertical="center"/>
    </xf>
    <xf numFmtId="0" fontId="44"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44" fillId="0" borderId="0" xfId="0" applyFont="1" applyAlignment="1">
      <alignment horizontal="center" vertical="center" wrapText="1"/>
    </xf>
    <xf numFmtId="0" fontId="8" fillId="0" borderId="43" xfId="0" applyFont="1" applyBorder="1">
      <alignment vertical="center"/>
    </xf>
    <xf numFmtId="0" fontId="83" fillId="0" borderId="0" xfId="0" applyFont="1">
      <alignment vertical="center"/>
    </xf>
    <xf numFmtId="0" fontId="28" fillId="0" borderId="0" xfId="0" applyFo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Alignment="1">
      <alignment horizontal="left" vertical="center"/>
    </xf>
    <xf numFmtId="0" fontId="9" fillId="0" borderId="0" xfId="0" applyFont="1" applyAlignment="1">
      <alignment horizontal="center" vertical="center"/>
    </xf>
    <xf numFmtId="0" fontId="84" fillId="0" borderId="6" xfId="0" applyFont="1" applyBorder="1" applyAlignment="1">
      <alignment horizontal="center" vertical="center"/>
    </xf>
    <xf numFmtId="0" fontId="84" fillId="0" borderId="0" xfId="0" applyFont="1" applyAlignment="1">
      <alignment horizontal="center" vertical="center"/>
    </xf>
    <xf numFmtId="180" fontId="84" fillId="0" borderId="6" xfId="0" applyNumberFormat="1" applyFont="1" applyBorder="1" applyAlignment="1">
      <alignment horizontal="center" vertical="center"/>
    </xf>
    <xf numFmtId="180" fontId="28" fillId="0" borderId="0" xfId="0" applyNumberFormat="1" applyFont="1" applyAlignment="1">
      <alignment horizontal="left" vertical="center"/>
    </xf>
    <xf numFmtId="0" fontId="0" fillId="0" borderId="11" xfId="0" applyBorder="1">
      <alignment vertical="center"/>
    </xf>
    <xf numFmtId="0" fontId="9" fillId="0" borderId="11" xfId="14" applyFont="1" applyBorder="1" applyAlignment="1">
      <alignment vertical="center"/>
    </xf>
    <xf numFmtId="0" fontId="9" fillId="0" borderId="0" xfId="14" applyFont="1" applyAlignment="1">
      <alignment vertical="center"/>
    </xf>
    <xf numFmtId="0" fontId="39" fillId="0" borderId="11" xfId="0" applyFont="1" applyBorder="1" applyAlignment="1">
      <alignment vertical="center" wrapText="1"/>
    </xf>
    <xf numFmtId="0" fontId="39" fillId="0" borderId="0" xfId="0" applyFont="1" applyAlignment="1">
      <alignment vertical="center" wrapText="1"/>
    </xf>
    <xf numFmtId="0" fontId="39" fillId="0" borderId="11" xfId="0" applyFont="1" applyBorder="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58" fillId="0" borderId="11" xfId="2" applyFont="1" applyFill="1" applyBorder="1" applyAlignment="1" applyProtection="1">
      <alignment vertical="center" shrinkToFit="1"/>
    </xf>
    <xf numFmtId="0" fontId="45" fillId="0" borderId="0" xfId="0" applyFont="1" applyAlignment="1">
      <alignment vertical="center" shrinkToFit="1"/>
    </xf>
    <xf numFmtId="3" fontId="58" fillId="0" borderId="11" xfId="0" applyNumberFormat="1" applyFont="1" applyBorder="1" applyAlignment="1">
      <alignment vertical="center" shrinkToFit="1"/>
    </xf>
    <xf numFmtId="0" fontId="48" fillId="0" borderId="46" xfId="0" applyFont="1" applyBorder="1" applyAlignment="1">
      <alignment vertical="top" textRotation="255" wrapText="1"/>
    </xf>
    <xf numFmtId="0" fontId="9" fillId="0" borderId="46" xfId="0" applyFont="1" applyBorder="1" applyAlignment="1">
      <alignment horizontal="center" vertical="center"/>
    </xf>
    <xf numFmtId="0" fontId="9" fillId="0" borderId="46" xfId="0" applyFont="1" applyBorder="1" applyAlignment="1">
      <alignment horizontal="left" vertical="top" wrapText="1"/>
    </xf>
    <xf numFmtId="0" fontId="26" fillId="0" borderId="46" xfId="0" applyFont="1" applyBorder="1" applyAlignment="1">
      <alignment horizontal="center" vertical="top" textRotation="255" wrapText="1"/>
    </xf>
    <xf numFmtId="0" fontId="9" fillId="0" borderId="46" xfId="0" applyFont="1" applyBorder="1" applyAlignment="1">
      <alignment horizontal="center" vertical="top" wrapText="1"/>
    </xf>
    <xf numFmtId="0" fontId="9" fillId="0" borderId="47" xfId="0" applyFont="1" applyBorder="1" applyAlignment="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0" xfId="6" applyFont="1" applyBorder="1" applyAlignment="1">
      <alignment horizontal="center" vertical="center"/>
    </xf>
    <xf numFmtId="0" fontId="9" fillId="0" borderId="110" xfId="6" applyFont="1" applyBorder="1">
      <alignment vertical="center"/>
    </xf>
    <xf numFmtId="0" fontId="9" fillId="0" borderId="111" xfId="6" applyFont="1" applyBorder="1">
      <alignment vertical="center"/>
    </xf>
    <xf numFmtId="0" fontId="9" fillId="0" borderId="85" xfId="6" applyFont="1" applyBorder="1">
      <alignment vertical="center"/>
    </xf>
    <xf numFmtId="0" fontId="9" fillId="0" borderId="46" xfId="6" applyFont="1" applyBorder="1" applyAlignment="1">
      <alignment horizontal="center" vertical="center"/>
    </xf>
    <xf numFmtId="0" fontId="38" fillId="0" borderId="85"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8" fillId="0" borderId="85"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38" fontId="17" fillId="5" borderId="47" xfId="2" applyFont="1" applyFill="1" applyBorder="1" applyAlignment="1" applyProtection="1">
      <alignment horizontal="right" vertical="center" shrinkToFit="1"/>
    </xf>
    <xf numFmtId="0" fontId="19" fillId="7" borderId="12" xfId="0" applyFont="1" applyFill="1" applyBorder="1" applyAlignment="1">
      <alignment horizontal="center" vertical="center" shrinkToFit="1"/>
    </xf>
    <xf numFmtId="0" fontId="89" fillId="7" borderId="44" xfId="0" applyFont="1" applyFill="1" applyBorder="1" applyAlignment="1">
      <alignment horizontal="center" vertical="center" shrinkToFit="1"/>
    </xf>
    <xf numFmtId="0" fontId="89" fillId="7" borderId="44" xfId="0" applyFont="1" applyFill="1" applyBorder="1" applyAlignment="1">
      <alignment horizontal="left" vertical="center" shrinkToFit="1"/>
    </xf>
    <xf numFmtId="0" fontId="89" fillId="7" borderId="77" xfId="0" applyFont="1" applyFill="1" applyBorder="1" applyAlignment="1">
      <alignment horizontal="center" vertical="center" wrapText="1"/>
    </xf>
    <xf numFmtId="0" fontId="89" fillId="7" borderId="44" xfId="0" applyFont="1" applyFill="1" applyBorder="1" applyAlignment="1">
      <alignment horizontal="center" vertical="center" wrapText="1"/>
    </xf>
    <xf numFmtId="0" fontId="93" fillId="3" borderId="48" xfId="0" applyFont="1" applyFill="1" applyBorder="1" applyAlignment="1">
      <alignment horizontal="center" vertical="center" wrapText="1"/>
    </xf>
    <xf numFmtId="38" fontId="95" fillId="5" borderId="76" xfId="2" applyFont="1" applyFill="1" applyBorder="1" applyAlignment="1" applyProtection="1">
      <alignment horizontal="right" vertical="center" shrinkToFit="1"/>
    </xf>
    <xf numFmtId="38" fontId="95" fillId="5" borderId="77" xfId="2" applyFont="1" applyFill="1" applyBorder="1" applyAlignment="1" applyProtection="1">
      <alignment horizontal="right" vertical="center" shrinkToFit="1"/>
    </xf>
    <xf numFmtId="38" fontId="95" fillId="5" borderId="97" xfId="2" applyFont="1" applyFill="1" applyBorder="1" applyAlignment="1" applyProtection="1">
      <alignment horizontal="right" vertical="center" shrinkToFit="1"/>
    </xf>
    <xf numFmtId="38" fontId="95" fillId="5" borderId="89" xfId="2" applyFont="1" applyFill="1" applyBorder="1" applyAlignment="1" applyProtection="1">
      <alignment horizontal="right" vertical="center" shrinkToFit="1"/>
    </xf>
    <xf numFmtId="38" fontId="95" fillId="5" borderId="44" xfId="2" applyFont="1" applyFill="1" applyBorder="1" applyAlignment="1" applyProtection="1">
      <alignment horizontal="right" vertical="center" shrinkToFit="1"/>
    </xf>
    <xf numFmtId="38" fontId="95" fillId="5" borderId="99" xfId="2" applyFont="1" applyFill="1" applyBorder="1" applyAlignment="1" applyProtection="1">
      <alignment horizontal="right" vertical="center" shrinkToFit="1"/>
    </xf>
    <xf numFmtId="38" fontId="95" fillId="5" borderId="71" xfId="2" applyFont="1" applyFill="1" applyBorder="1" applyAlignment="1" applyProtection="1">
      <alignment horizontal="right" vertical="center" shrinkToFit="1"/>
    </xf>
    <xf numFmtId="38" fontId="96" fillId="5" borderId="71" xfId="2" applyFont="1" applyFill="1" applyBorder="1" applyAlignment="1" applyProtection="1">
      <alignment horizontal="left" vertical="center" shrinkToFit="1"/>
    </xf>
    <xf numFmtId="38" fontId="96" fillId="5" borderId="44" xfId="2" applyFont="1" applyFill="1" applyBorder="1" applyAlignment="1" applyProtection="1">
      <alignment horizontal="left" vertical="center" shrinkToFit="1"/>
    </xf>
    <xf numFmtId="38" fontId="96" fillId="5" borderId="90" xfId="2" applyFont="1" applyFill="1" applyBorder="1" applyAlignment="1" applyProtection="1">
      <alignment horizontal="left" vertical="center" shrinkToFit="1"/>
    </xf>
    <xf numFmtId="38" fontId="95" fillId="5" borderId="94" xfId="2" applyFont="1" applyFill="1" applyBorder="1" applyAlignment="1" applyProtection="1">
      <alignment horizontal="right" vertical="center" shrinkToFit="1"/>
    </xf>
    <xf numFmtId="38" fontId="95" fillId="5" borderId="95" xfId="2" applyFont="1" applyFill="1" applyBorder="1" applyAlignment="1" applyProtection="1">
      <alignment horizontal="right" vertical="center" shrinkToFit="1"/>
    </xf>
    <xf numFmtId="38" fontId="95" fillId="5" borderId="98" xfId="2" applyFont="1" applyFill="1" applyBorder="1" applyAlignment="1" applyProtection="1">
      <alignment horizontal="right" vertical="center" shrinkToFit="1"/>
    </xf>
    <xf numFmtId="38" fontId="95" fillId="5" borderId="96" xfId="2" applyFont="1" applyFill="1" applyBorder="1" applyAlignment="1" applyProtection="1">
      <alignment horizontal="right" vertical="center" shrinkToFit="1"/>
    </xf>
    <xf numFmtId="38" fontId="97" fillId="5" borderId="46" xfId="2" applyFont="1" applyFill="1" applyBorder="1" applyAlignment="1" applyProtection="1">
      <alignment horizontal="center" vertical="center" shrinkToFit="1"/>
    </xf>
    <xf numFmtId="0" fontId="97" fillId="5" borderId="46" xfId="0" applyFont="1" applyFill="1" applyBorder="1" applyAlignment="1">
      <alignment horizontal="center" vertical="center" shrinkToFit="1"/>
    </xf>
    <xf numFmtId="0" fontId="94" fillId="5" borderId="46" xfId="0" applyFont="1" applyFill="1" applyBorder="1" applyAlignment="1">
      <alignment horizontal="center" vertical="center" shrinkToFit="1"/>
    </xf>
    <xf numFmtId="0" fontId="93" fillId="7" borderId="46" xfId="0" applyFont="1" applyFill="1" applyBorder="1" applyAlignment="1">
      <alignment horizontal="left" vertical="center" wrapText="1"/>
    </xf>
    <xf numFmtId="38" fontId="95" fillId="0" borderId="77" xfId="2" applyFont="1" applyFill="1" applyBorder="1" applyAlignment="1" applyProtection="1">
      <alignment horizontal="left" vertical="center" wrapText="1"/>
    </xf>
    <xf numFmtId="38" fontId="95" fillId="0" borderId="44" xfId="2" applyFont="1" applyFill="1" applyBorder="1" applyAlignment="1" applyProtection="1">
      <alignment horizontal="left" vertical="center" wrapText="1"/>
    </xf>
    <xf numFmtId="38" fontId="88" fillId="0" borderId="44" xfId="2" applyFont="1" applyFill="1" applyBorder="1" applyAlignment="1" applyProtection="1">
      <alignment horizontal="left" vertical="center" wrapText="1"/>
    </xf>
    <xf numFmtId="38" fontId="95" fillId="0" borderId="95" xfId="2" applyFont="1" applyFill="1" applyBorder="1" applyAlignment="1" applyProtection="1">
      <alignment horizontal="right" vertical="center" shrinkToFit="1"/>
    </xf>
    <xf numFmtId="38" fontId="96" fillId="0" borderId="44" xfId="2" applyFont="1" applyFill="1" applyBorder="1" applyAlignment="1" applyProtection="1">
      <alignment horizontal="left" vertical="center" wrapText="1"/>
    </xf>
    <xf numFmtId="38" fontId="95" fillId="0" borderId="92" xfId="2" applyFont="1" applyFill="1" applyBorder="1" applyAlignment="1" applyProtection="1">
      <alignment horizontal="right" vertical="center" shrinkToFit="1"/>
    </xf>
    <xf numFmtId="0" fontId="9" fillId="0" borderId="114" xfId="6" applyFont="1" applyBorder="1" applyAlignment="1">
      <alignment horizontal="right" vertical="center"/>
    </xf>
    <xf numFmtId="0" fontId="9" fillId="0" borderId="47" xfId="6" applyFont="1" applyBorder="1" applyAlignment="1">
      <alignment horizontal="right" vertical="center"/>
    </xf>
    <xf numFmtId="0" fontId="9" fillId="0" borderId="115" xfId="6" applyFont="1" applyBorder="1" applyAlignment="1">
      <alignment horizontal="left" vertical="center"/>
    </xf>
    <xf numFmtId="0" fontId="9" fillId="0" borderId="49" xfId="6" applyFont="1" applyBorder="1" applyAlignment="1">
      <alignment horizontal="left" vertical="center"/>
    </xf>
    <xf numFmtId="184" fontId="88"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19" fillId="0" borderId="0" xfId="0" applyFont="1" applyAlignment="1">
      <alignment horizontal="center" vertical="center"/>
    </xf>
    <xf numFmtId="0" fontId="9" fillId="0" borderId="3" xfId="0" applyFont="1" applyBorder="1">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48" fillId="0" borderId="0" xfId="0" applyFont="1" applyAlignment="1">
      <alignment horizontal="left" vertical="center"/>
    </xf>
    <xf numFmtId="0" fontId="48" fillId="0" borderId="46" xfId="0" applyFont="1" applyBorder="1">
      <alignment vertical="center"/>
    </xf>
    <xf numFmtId="0" fontId="48" fillId="0" borderId="51" xfId="0" applyFont="1" applyBorder="1">
      <alignment vertical="center"/>
    </xf>
    <xf numFmtId="0" fontId="48" fillId="0" borderId="133" xfId="0" applyFont="1" applyBorder="1">
      <alignment vertical="center"/>
    </xf>
    <xf numFmtId="0" fontId="48" fillId="0" borderId="134" xfId="0" applyFont="1" applyBorder="1">
      <alignment vertical="center"/>
    </xf>
    <xf numFmtId="0" fontId="48" fillId="0" borderId="3" xfId="0" applyFont="1" applyBorder="1">
      <alignment vertical="center"/>
    </xf>
    <xf numFmtId="0" fontId="48" fillId="0" borderId="51" xfId="0" applyFont="1" applyBorder="1" applyAlignment="1">
      <alignment horizontal="center" vertical="center" wrapText="1"/>
    </xf>
    <xf numFmtId="0" fontId="11" fillId="0" borderId="3" xfId="0" applyFont="1" applyBorder="1">
      <alignment vertical="center"/>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102" fillId="0" borderId="0" xfId="6" applyFont="1" applyAlignment="1">
      <alignment horizontal="left" vertical="center"/>
    </xf>
    <xf numFmtId="0" fontId="5" fillId="0" borderId="0" xfId="13" applyFont="1"/>
    <xf numFmtId="38" fontId="107" fillId="5" borderId="9" xfId="2" applyFont="1" applyFill="1" applyBorder="1" applyAlignment="1">
      <alignment horizontal="right" vertical="center" shrinkToFit="1"/>
    </xf>
    <xf numFmtId="202" fontId="106" fillId="5" borderId="143" xfId="0" applyNumberFormat="1" applyFont="1" applyFill="1" applyBorder="1" applyAlignment="1">
      <alignment horizontal="right" vertical="center" shrinkToFit="1"/>
    </xf>
    <xf numFmtId="0" fontId="106" fillId="3" borderId="143" xfId="0" applyFont="1" applyFill="1" applyBorder="1" applyAlignment="1">
      <alignment horizontal="left" vertical="center" shrinkToFit="1"/>
    </xf>
    <xf numFmtId="0" fontId="106" fillId="3" borderId="143" xfId="0" applyFont="1" applyFill="1" applyBorder="1" applyAlignment="1">
      <alignment horizontal="center" vertical="center"/>
    </xf>
    <xf numFmtId="0" fontId="110" fillId="3" borderId="144"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11"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12" fillId="0" borderId="0" xfId="9" applyNumberFormat="1" applyFont="1" applyAlignment="1">
      <alignment horizontal="left" vertical="center"/>
    </xf>
    <xf numFmtId="203" fontId="110" fillId="0" borderId="51"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6" xfId="0" applyFont="1" applyBorder="1" applyAlignment="1">
      <alignment horizontal="center" shrinkToFit="1"/>
    </xf>
    <xf numFmtId="38" fontId="113" fillId="5" borderId="46" xfId="2" applyFont="1" applyFill="1" applyBorder="1" applyAlignment="1">
      <alignment horizontal="right" vertical="center"/>
    </xf>
    <xf numFmtId="38" fontId="113" fillId="5" borderId="48" xfId="2" applyFont="1" applyFill="1" applyBorder="1" applyAlignment="1">
      <alignment horizontal="right" vertical="center"/>
    </xf>
    <xf numFmtId="0" fontId="6" fillId="0" borderId="0" xfId="9" applyFont="1"/>
    <xf numFmtId="0" fontId="6" fillId="0" borderId="0" xfId="13" applyFont="1"/>
    <xf numFmtId="0" fontId="113"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3" fillId="3" borderId="27" xfId="0" applyFont="1" applyFill="1" applyBorder="1" applyAlignment="1">
      <alignment horizontal="center" vertical="center"/>
    </xf>
    <xf numFmtId="0" fontId="113" fillId="3" borderId="28" xfId="0" applyFont="1" applyFill="1" applyBorder="1" applyAlignment="1">
      <alignment horizontal="center" vertical="center"/>
    </xf>
    <xf numFmtId="0" fontId="5" fillId="0" borderId="145" xfId="13" applyFont="1" applyBorder="1" applyAlignment="1">
      <alignment horizontal="center" shrinkToFit="1"/>
    </xf>
    <xf numFmtId="0" fontId="6" fillId="0" borderId="38" xfId="0" applyFont="1" applyBorder="1" applyAlignment="1">
      <alignment vertical="center" shrinkToFit="1"/>
    </xf>
    <xf numFmtId="0" fontId="6" fillId="0" borderId="116" xfId="0" applyFont="1" applyBorder="1" applyAlignment="1">
      <alignment vertical="center" shrinkToFit="1"/>
    </xf>
    <xf numFmtId="38" fontId="6" fillId="5" borderId="116" xfId="2" applyFont="1" applyFill="1" applyBorder="1" applyAlignment="1">
      <alignment vertical="center"/>
    </xf>
    <xf numFmtId="0" fontId="6" fillId="5" borderId="146" xfId="0" applyFont="1" applyFill="1" applyBorder="1">
      <alignment vertical="center"/>
    </xf>
    <xf numFmtId="0" fontId="6" fillId="5" borderId="116" xfId="0" applyFont="1" applyFill="1" applyBorder="1">
      <alignment vertical="center"/>
    </xf>
    <xf numFmtId="0" fontId="6" fillId="5" borderId="147" xfId="0" applyFont="1" applyFill="1" applyBorder="1">
      <alignment vertical="center"/>
    </xf>
    <xf numFmtId="0" fontId="5" fillId="0" borderId="148" xfId="13" applyFont="1" applyBorder="1" applyAlignment="1">
      <alignment horizontal="center" shrinkToFit="1"/>
    </xf>
    <xf numFmtId="0" fontId="6" fillId="0" borderId="46" xfId="0" applyFont="1" applyBorder="1" applyAlignment="1">
      <alignment vertical="center" shrinkToFit="1"/>
    </xf>
    <xf numFmtId="38" fontId="6" fillId="5" borderId="46" xfId="2" applyFont="1" applyFill="1" applyBorder="1" applyAlignment="1">
      <alignment vertical="center"/>
    </xf>
    <xf numFmtId="0" fontId="6" fillId="5" borderId="85" xfId="0" applyFont="1" applyFill="1" applyBorder="1">
      <alignment vertical="center"/>
    </xf>
    <xf numFmtId="0" fontId="6" fillId="5" borderId="46" xfId="0" applyFont="1" applyFill="1" applyBorder="1">
      <alignment vertical="center"/>
    </xf>
    <xf numFmtId="0" fontId="6" fillId="5" borderId="149" xfId="0" applyFont="1" applyFill="1" applyBorder="1">
      <alignment vertical="center"/>
    </xf>
    <xf numFmtId="0" fontId="5" fillId="0" borderId="58"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7" xfId="0" applyFont="1" applyFill="1" applyBorder="1">
      <alignment vertical="center"/>
    </xf>
    <xf numFmtId="0" fontId="6" fillId="5" borderId="3" xfId="0" applyFont="1" applyFill="1" applyBorder="1">
      <alignment vertical="center"/>
    </xf>
    <xf numFmtId="0" fontId="6" fillId="5" borderId="69" xfId="0" applyFont="1" applyFill="1" applyBorder="1">
      <alignment vertical="center"/>
    </xf>
    <xf numFmtId="38" fontId="6" fillId="5" borderId="38" xfId="2" applyFont="1" applyFill="1" applyBorder="1" applyAlignment="1">
      <alignment vertical="center"/>
    </xf>
    <xf numFmtId="38" fontId="6" fillId="5" borderId="39"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4" xfId="2" applyFont="1" applyFill="1" applyBorder="1" applyAlignment="1">
      <alignment vertical="center"/>
    </xf>
    <xf numFmtId="38" fontId="6" fillId="5" borderId="66" xfId="2" applyFont="1" applyFill="1" applyBorder="1" applyAlignment="1">
      <alignment vertical="center"/>
    </xf>
    <xf numFmtId="0" fontId="6" fillId="5" borderId="150" xfId="0" applyFont="1" applyFill="1" applyBorder="1">
      <alignment vertical="center"/>
    </xf>
    <xf numFmtId="0" fontId="78" fillId="0" borderId="81" xfId="0" applyFont="1" applyBorder="1" applyAlignment="1">
      <alignment horizontal="center" vertical="center"/>
    </xf>
    <xf numFmtId="38" fontId="113" fillId="5" borderId="81"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6" xfId="17" applyFont="1" applyBorder="1" applyAlignment="1">
      <alignment horizontal="center" vertical="center" shrinkToFit="1"/>
    </xf>
    <xf numFmtId="0" fontId="13" fillId="0" borderId="47" xfId="17" applyFont="1" applyBorder="1" applyAlignment="1">
      <alignment horizontal="left" vertical="center"/>
    </xf>
    <xf numFmtId="0" fontId="13" fillId="0" borderId="48" xfId="17" applyFont="1" applyBorder="1" applyAlignment="1">
      <alignment horizontal="left" vertical="center"/>
    </xf>
    <xf numFmtId="0" fontId="13" fillId="0" borderId="0" xfId="17" applyFont="1" applyAlignment="1">
      <alignment horizontal="left" vertical="center" wrapText="1"/>
    </xf>
    <xf numFmtId="0" fontId="6" fillId="0" borderId="48" xfId="17" applyFont="1" applyBorder="1"/>
    <xf numFmtId="0" fontId="12" fillId="0" borderId="47" xfId="0" applyFont="1" applyBorder="1">
      <alignment vertical="center"/>
    </xf>
    <xf numFmtId="0" fontId="12" fillId="0" borderId="48"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15" fillId="0" borderId="0" xfId="0" applyFont="1" applyAlignment="1">
      <alignment horizontal="center" vertical="center"/>
    </xf>
    <xf numFmtId="205" fontId="81"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lignment vertical="center"/>
    </xf>
    <xf numFmtId="38" fontId="38" fillId="5" borderId="7" xfId="2" applyFont="1" applyFill="1" applyBorder="1" applyAlignment="1">
      <alignment horizontal="right" vertical="center"/>
    </xf>
    <xf numFmtId="38" fontId="38" fillId="5" borderId="0" xfId="2" applyFont="1" applyFill="1" applyBorder="1" applyAlignment="1">
      <alignment horizontal="right" vertical="center"/>
    </xf>
    <xf numFmtId="0" fontId="104" fillId="5" borderId="0" xfId="6" applyFont="1" applyFill="1" applyAlignment="1">
      <alignment horizontal="left" vertical="center"/>
    </xf>
    <xf numFmtId="0" fontId="114" fillId="0" borderId="0" xfId="13" applyFont="1"/>
    <xf numFmtId="0" fontId="5" fillId="0" borderId="0" xfId="13" applyFont="1" applyAlignment="1">
      <alignment wrapText="1"/>
    </xf>
    <xf numFmtId="0" fontId="7" fillId="0" borderId="0" xfId="6" applyFont="1" applyAlignment="1">
      <alignment horizontal="left" wrapText="1"/>
    </xf>
    <xf numFmtId="0" fontId="7" fillId="0" borderId="0" xfId="6" applyFont="1" applyAlignment="1">
      <alignment horizontal="right"/>
    </xf>
    <xf numFmtId="0" fontId="102" fillId="0" borderId="0" xfId="6" applyFont="1" applyAlignment="1">
      <alignment horizontal="right" vertical="center"/>
    </xf>
    <xf numFmtId="0" fontId="102" fillId="0" borderId="0" xfId="6" applyFont="1">
      <alignment vertical="center"/>
    </xf>
    <xf numFmtId="0" fontId="6" fillId="2" borderId="90" xfId="13" applyFont="1" applyFill="1" applyBorder="1" applyAlignment="1">
      <alignment horizontal="center" vertical="center"/>
    </xf>
    <xf numFmtId="0" fontId="6" fillId="2" borderId="159" xfId="13" applyFont="1" applyFill="1" applyBorder="1" applyAlignment="1">
      <alignment horizontal="center" vertical="center" wrapText="1"/>
    </xf>
    <xf numFmtId="0" fontId="6" fillId="2" borderId="160" xfId="13" applyFont="1" applyFill="1" applyBorder="1" applyAlignment="1">
      <alignment horizontal="center" vertical="center" wrapText="1" shrinkToFit="1"/>
    </xf>
    <xf numFmtId="0" fontId="6" fillId="2" borderId="161" xfId="13" applyFont="1" applyFill="1" applyBorder="1" applyAlignment="1">
      <alignment horizontal="center" vertical="center" wrapText="1"/>
    </xf>
    <xf numFmtId="0" fontId="6" fillId="2" borderId="160" xfId="13" applyFont="1" applyFill="1" applyBorder="1" applyAlignment="1">
      <alignment horizontal="center" vertical="center" wrapText="1"/>
    </xf>
    <xf numFmtId="0" fontId="5" fillId="2" borderId="161" xfId="13" applyFont="1" applyFill="1" applyBorder="1" applyAlignment="1">
      <alignment horizontal="center" vertical="center" wrapText="1"/>
    </xf>
    <xf numFmtId="0" fontId="5" fillId="2" borderId="159" xfId="13" applyFont="1" applyFill="1" applyBorder="1" applyAlignment="1">
      <alignment horizontal="center" vertical="center" wrapText="1"/>
    </xf>
    <xf numFmtId="0" fontId="5" fillId="2" borderId="162" xfId="13" applyFont="1" applyFill="1" applyBorder="1" applyAlignment="1">
      <alignment horizontal="center" vertical="center" wrapText="1"/>
    </xf>
    <xf numFmtId="0" fontId="5" fillId="2" borderId="44" xfId="13" applyFont="1" applyFill="1" applyBorder="1" applyAlignment="1">
      <alignment horizontal="center" vertical="center" wrapText="1"/>
    </xf>
    <xf numFmtId="206" fontId="6" fillId="7" borderId="163" xfId="13" applyNumberFormat="1" applyFont="1" applyFill="1" applyBorder="1" applyAlignment="1">
      <alignment horizontal="center" vertical="center" shrinkToFit="1"/>
    </xf>
    <xf numFmtId="0" fontId="6" fillId="7" borderId="3" xfId="13" applyFont="1" applyFill="1" applyBorder="1" applyAlignment="1">
      <alignment vertical="center" shrinkToFit="1"/>
    </xf>
    <xf numFmtId="0" fontId="116" fillId="7" borderId="105" xfId="13" applyFont="1" applyFill="1" applyBorder="1" applyAlignment="1">
      <alignment horizontal="center" vertical="center" wrapText="1" shrinkToFit="1"/>
    </xf>
    <xf numFmtId="202" fontId="6" fillId="7" borderId="164" xfId="2" applyNumberFormat="1" applyFont="1" applyFill="1" applyBorder="1" applyAlignment="1">
      <alignment horizontal="right" vertical="center" shrinkToFit="1"/>
    </xf>
    <xf numFmtId="202" fontId="6" fillId="7" borderId="3" xfId="2" applyNumberFormat="1" applyFont="1" applyFill="1" applyBorder="1" applyAlignment="1">
      <alignment horizontal="right" vertical="center" shrinkToFit="1"/>
    </xf>
    <xf numFmtId="38" fontId="6" fillId="4" borderId="104" xfId="2" applyFont="1" applyFill="1" applyBorder="1" applyAlignment="1">
      <alignment horizontal="right" vertical="center" shrinkToFit="1"/>
    </xf>
    <xf numFmtId="199" fontId="6" fillId="7" borderId="148" xfId="13" applyNumberFormat="1" applyFont="1" applyFill="1" applyBorder="1" applyAlignment="1">
      <alignment horizontal="center" vertical="center"/>
    </xf>
    <xf numFmtId="206" fontId="6" fillId="7" borderId="7" xfId="13" applyNumberFormat="1" applyFont="1" applyFill="1" applyBorder="1" applyAlignment="1">
      <alignment horizontal="center" vertical="center" shrinkToFit="1"/>
    </xf>
    <xf numFmtId="0" fontId="5" fillId="7" borderId="165" xfId="13" applyFont="1" applyFill="1" applyBorder="1" applyAlignment="1">
      <alignment horizontal="center" vertical="center"/>
    </xf>
    <xf numFmtId="0" fontId="5" fillId="7" borderId="44" xfId="13" applyFont="1" applyFill="1" applyBorder="1" applyAlignment="1">
      <alignment horizontal="center" vertical="center"/>
    </xf>
    <xf numFmtId="0" fontId="116" fillId="7" borderId="66" xfId="13" applyFont="1" applyFill="1" applyBorder="1" applyAlignment="1">
      <alignment horizontal="center" vertical="center" wrapText="1" shrinkToFit="1"/>
    </xf>
    <xf numFmtId="202" fontId="6" fillId="7" borderId="65" xfId="2" applyNumberFormat="1" applyFont="1" applyFill="1" applyBorder="1" applyAlignment="1">
      <alignment horizontal="right" vertical="center" shrinkToFit="1"/>
    </xf>
    <xf numFmtId="202" fontId="6" fillId="7" borderId="46" xfId="2" applyNumberFormat="1" applyFont="1" applyFill="1" applyBorder="1" applyAlignment="1">
      <alignment horizontal="right" vertical="center" shrinkToFit="1"/>
    </xf>
    <xf numFmtId="199" fontId="6" fillId="7" borderId="166" xfId="13" applyNumberFormat="1" applyFont="1" applyFill="1" applyBorder="1" applyAlignment="1">
      <alignment horizontal="center" vertical="center"/>
    </xf>
    <xf numFmtId="206" fontId="6" fillId="7" borderId="51" xfId="13" applyNumberFormat="1" applyFont="1" applyFill="1" applyBorder="1" applyAlignment="1">
      <alignment horizontal="center" vertical="center" shrinkToFit="1"/>
    </xf>
    <xf numFmtId="0" fontId="5" fillId="7" borderId="167" xfId="13" applyFont="1" applyFill="1" applyBorder="1" applyAlignment="1">
      <alignment horizontal="center" vertical="center"/>
    </xf>
    <xf numFmtId="206" fontId="6" fillId="7" borderId="168" xfId="13" applyNumberFormat="1" applyFont="1" applyFill="1" applyBorder="1" applyAlignment="1">
      <alignment horizontal="center" vertical="center" shrinkToFit="1"/>
    </xf>
    <xf numFmtId="0" fontId="116" fillId="7" borderId="169" xfId="13" applyFont="1" applyFill="1" applyBorder="1" applyAlignment="1">
      <alignment horizontal="center" vertical="center" wrapText="1" shrinkToFit="1"/>
    </xf>
    <xf numFmtId="38" fontId="6" fillId="4" borderId="66" xfId="2" applyFont="1" applyFill="1" applyBorder="1" applyAlignment="1">
      <alignment horizontal="right" vertical="center" shrinkToFit="1"/>
    </xf>
    <xf numFmtId="206" fontId="6" fillId="7" borderId="170" xfId="13" applyNumberFormat="1" applyFont="1" applyFill="1" applyBorder="1" applyAlignment="1">
      <alignment horizontal="center" vertical="center" shrinkToFit="1"/>
    </xf>
    <xf numFmtId="0" fontId="6" fillId="7" borderId="100" xfId="13" applyFont="1" applyFill="1" applyBorder="1" applyAlignment="1">
      <alignment vertical="center" shrinkToFit="1"/>
    </xf>
    <xf numFmtId="0" fontId="116" fillId="7" borderId="173" xfId="13" applyFont="1" applyFill="1" applyBorder="1" applyAlignment="1">
      <alignment horizontal="center" vertical="center" wrapText="1" shrinkToFit="1"/>
    </xf>
    <xf numFmtId="202" fontId="6" fillId="7" borderId="174" xfId="2" applyNumberFormat="1" applyFont="1" applyFill="1" applyBorder="1" applyAlignment="1">
      <alignment horizontal="right" vertical="center" shrinkToFit="1"/>
    </xf>
    <xf numFmtId="202" fontId="6" fillId="7" borderId="175" xfId="2" applyNumberFormat="1" applyFont="1" applyFill="1" applyBorder="1" applyAlignment="1">
      <alignment horizontal="right" vertical="center" shrinkToFit="1"/>
    </xf>
    <xf numFmtId="38" fontId="6" fillId="4" borderId="173" xfId="2" applyFont="1" applyFill="1" applyBorder="1" applyAlignment="1">
      <alignment horizontal="right" vertical="center" shrinkToFit="1"/>
    </xf>
    <xf numFmtId="199" fontId="6" fillId="7" borderId="174" xfId="13" applyNumberFormat="1" applyFont="1" applyFill="1" applyBorder="1" applyAlignment="1">
      <alignment horizontal="center" vertical="center"/>
    </xf>
    <xf numFmtId="206" fontId="6" fillId="7" borderId="175" xfId="13" applyNumberFormat="1" applyFont="1" applyFill="1" applyBorder="1" applyAlignment="1">
      <alignment horizontal="center" vertical="center" shrinkToFit="1"/>
    </xf>
    <xf numFmtId="0" fontId="5" fillId="7" borderId="176" xfId="13" applyFont="1" applyFill="1" applyBorder="1" applyAlignment="1">
      <alignment horizontal="center" vertical="center"/>
    </xf>
    <xf numFmtId="206" fontId="6" fillId="18" borderId="179" xfId="13" applyNumberFormat="1" applyFont="1" applyFill="1" applyBorder="1" applyAlignment="1">
      <alignment horizontal="center" vertical="center"/>
    </xf>
    <xf numFmtId="0" fontId="6" fillId="18" borderId="0" xfId="13" applyFont="1" applyFill="1" applyAlignment="1">
      <alignment vertical="center" shrinkToFit="1"/>
    </xf>
    <xf numFmtId="0" fontId="117" fillId="18" borderId="0" xfId="13" applyFont="1" applyFill="1" applyAlignment="1">
      <alignment vertical="center"/>
    </xf>
    <xf numFmtId="0" fontId="6" fillId="18" borderId="0" xfId="13" applyFont="1" applyFill="1" applyAlignment="1">
      <alignment vertical="center"/>
    </xf>
    <xf numFmtId="0" fontId="116" fillId="18" borderId="17" xfId="13" applyFont="1" applyFill="1" applyBorder="1" applyAlignment="1">
      <alignment horizontal="center" vertical="center" wrapText="1" shrinkToFit="1"/>
    </xf>
    <xf numFmtId="202" fontId="6" fillId="18" borderId="73" xfId="2" applyNumberFormat="1" applyFont="1" applyFill="1" applyBorder="1" applyAlignment="1">
      <alignment horizontal="right" vertical="center" shrinkToFit="1"/>
    </xf>
    <xf numFmtId="202" fontId="6" fillId="18" borderId="7" xfId="2" applyNumberFormat="1" applyFont="1" applyFill="1" applyBorder="1" applyAlignment="1">
      <alignment horizontal="right" vertical="center" shrinkToFit="1"/>
    </xf>
    <xf numFmtId="38" fontId="6" fillId="18" borderId="105" xfId="2" applyFont="1" applyFill="1" applyBorder="1" applyAlignment="1">
      <alignment horizontal="right" vertical="center" shrinkToFit="1"/>
    </xf>
    <xf numFmtId="199" fontId="6" fillId="18" borderId="148" xfId="13" applyNumberFormat="1" applyFont="1" applyFill="1" applyBorder="1" applyAlignment="1">
      <alignment horizontal="center" vertical="center"/>
    </xf>
    <xf numFmtId="206" fontId="6" fillId="18" borderId="11" xfId="13" applyNumberFormat="1" applyFont="1" applyFill="1" applyBorder="1" applyAlignment="1">
      <alignment horizontal="center" vertical="center"/>
    </xf>
    <xf numFmtId="0" fontId="5" fillId="18" borderId="165" xfId="13" applyFont="1" applyFill="1" applyBorder="1" applyAlignment="1">
      <alignment horizontal="center" vertical="center"/>
    </xf>
    <xf numFmtId="0" fontId="5" fillId="19" borderId="180" xfId="13" applyFont="1" applyFill="1" applyBorder="1" applyAlignment="1">
      <alignment horizontal="center" vertical="center"/>
    </xf>
    <xf numFmtId="38" fontId="6" fillId="4" borderId="184" xfId="2" applyFont="1" applyFill="1" applyBorder="1" applyAlignment="1">
      <alignment horizontal="right" vertical="center" shrinkToFit="1"/>
    </xf>
    <xf numFmtId="38" fontId="6" fillId="4" borderId="185" xfId="2" applyFont="1" applyFill="1" applyBorder="1" applyAlignment="1">
      <alignment horizontal="right" vertical="center" shrinkToFit="1"/>
    </xf>
    <xf numFmtId="38" fontId="6" fillId="4" borderId="186" xfId="2" applyFont="1" applyFill="1" applyBorder="1" applyAlignment="1">
      <alignment horizontal="right" vertical="center" shrinkToFit="1"/>
    </xf>
    <xf numFmtId="0" fontId="6" fillId="0" borderId="187" xfId="13" applyFont="1" applyBorder="1" applyAlignment="1">
      <alignment vertical="center"/>
    </xf>
    <xf numFmtId="206" fontId="6" fillId="0" borderId="188" xfId="13" applyNumberFormat="1" applyFont="1" applyBorder="1" applyAlignment="1">
      <alignment vertical="center"/>
    </xf>
    <xf numFmtId="0" fontId="6" fillId="0" borderId="189" xfId="13" applyFont="1" applyBorder="1" applyAlignment="1">
      <alignment vertical="center"/>
    </xf>
    <xf numFmtId="0" fontId="5" fillId="0" borderId="190" xfId="13" applyFont="1" applyBorder="1"/>
    <xf numFmtId="0" fontId="5" fillId="0" borderId="0" xfId="13" applyFont="1" applyAlignment="1">
      <alignment horizontal="left" vertical="center" wrapText="1"/>
    </xf>
    <xf numFmtId="203" fontId="112" fillId="0" borderId="12" xfId="9" applyNumberFormat="1" applyFont="1" applyBorder="1" applyAlignment="1">
      <alignment horizontal="left" vertical="center"/>
    </xf>
    <xf numFmtId="0" fontId="113" fillId="0" borderId="12" xfId="13" applyFont="1" applyBorder="1" applyAlignment="1">
      <alignment horizontal="right" vertical="center" wrapText="1" shrinkToFit="1"/>
    </xf>
    <xf numFmtId="0" fontId="113" fillId="0" borderId="0" xfId="9" applyFont="1" applyAlignment="1">
      <alignment horizontal="right" vertical="center"/>
    </xf>
    <xf numFmtId="203" fontId="113" fillId="0" borderId="0" xfId="9" applyNumberFormat="1" applyFont="1" applyAlignment="1">
      <alignment horizontal="left"/>
    </xf>
    <xf numFmtId="0" fontId="5" fillId="0" borderId="0" xfId="9" applyFont="1" applyAlignment="1">
      <alignment horizontal="right"/>
    </xf>
    <xf numFmtId="0" fontId="114" fillId="0" borderId="0" xfId="6" applyFont="1">
      <alignment vertical="center"/>
    </xf>
    <xf numFmtId="0" fontId="5" fillId="0" borderId="0" xfId="9" applyFont="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6" xfId="17" applyFont="1" applyFill="1" applyBorder="1" applyAlignment="1">
      <alignment horizontal="center" vertical="center" wrapText="1"/>
    </xf>
    <xf numFmtId="38" fontId="5" fillId="4" borderId="5" xfId="2" applyFont="1" applyFill="1" applyBorder="1" applyAlignment="1">
      <alignment horizontal="right" vertical="center" wrapText="1" shrinkToFit="1" readingOrder="1"/>
    </xf>
    <xf numFmtId="38" fontId="5" fillId="4" borderId="85" xfId="2" applyFont="1" applyFill="1" applyBorder="1" applyAlignment="1">
      <alignment horizontal="right" vertical="center" wrapText="1"/>
    </xf>
    <xf numFmtId="38" fontId="5" fillId="4" borderId="47" xfId="2" applyFont="1" applyFill="1" applyBorder="1" applyAlignment="1">
      <alignment horizontal="right" vertical="center" wrapText="1" shrinkToFit="1" readingOrder="1"/>
    </xf>
    <xf numFmtId="38" fontId="5" fillId="4" borderId="85" xfId="2" applyFont="1" applyFill="1" applyBorder="1" applyAlignment="1">
      <alignment horizontal="right" vertical="center" shrinkToFit="1" readingOrder="1"/>
    </xf>
    <xf numFmtId="38" fontId="5" fillId="4" borderId="46" xfId="2" applyFont="1" applyFill="1" applyBorder="1" applyAlignment="1">
      <alignment horizontal="right" vertical="center" wrapText="1" shrinkToFit="1" readingOrder="1"/>
    </xf>
    <xf numFmtId="38" fontId="5" fillId="4" borderId="136" xfId="2" applyFont="1" applyFill="1" applyBorder="1" applyAlignment="1">
      <alignment horizontal="right" vertical="center" shrinkToFit="1" readingOrder="1"/>
    </xf>
    <xf numFmtId="38" fontId="5" fillId="4" borderId="191" xfId="2" applyFont="1" applyFill="1" applyBorder="1" applyAlignment="1">
      <alignment horizontal="right" vertical="center" shrinkToFit="1" readingOrder="1"/>
    </xf>
    <xf numFmtId="38" fontId="5" fillId="4" borderId="7" xfId="2" applyFont="1" applyFill="1" applyBorder="1" applyAlignment="1">
      <alignment horizontal="right" vertical="center" wrapText="1"/>
    </xf>
    <xf numFmtId="38" fontId="5" fillId="4" borderId="114" xfId="2" applyFont="1" applyFill="1" applyBorder="1" applyAlignment="1">
      <alignment horizontal="right" vertical="center" shrinkToFit="1" readingOrder="1"/>
    </xf>
    <xf numFmtId="38" fontId="5" fillId="4" borderId="194" xfId="2" applyFont="1" applyFill="1" applyBorder="1" applyAlignment="1">
      <alignment horizontal="right" vertical="center" shrinkToFit="1" readingOrder="1"/>
    </xf>
    <xf numFmtId="0" fontId="6" fillId="0" borderId="0" xfId="9" applyFont="1" applyAlignment="1">
      <alignment horizontal="center" vertical="center" wrapText="1"/>
    </xf>
    <xf numFmtId="0" fontId="5" fillId="0" borderId="0" xfId="17" applyFont="1" applyAlignment="1">
      <alignment vertical="center" wrapText="1"/>
    </xf>
    <xf numFmtId="0" fontId="13" fillId="0" borderId="46" xfId="17" applyFont="1" applyBorder="1" applyAlignment="1">
      <alignment horizontal="center" vertical="center" wrapText="1" shrinkToFit="1"/>
    </xf>
    <xf numFmtId="0" fontId="13" fillId="0" borderId="3" xfId="17" applyFont="1" applyBorder="1" applyAlignment="1">
      <alignment horizontal="center" vertical="center" wrapText="1" shrinkToFit="1"/>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06" fillId="5" borderId="195" xfId="0" applyNumberFormat="1" applyFont="1" applyFill="1" applyBorder="1" applyAlignment="1">
      <alignment horizontal="right" vertical="center" shrinkToFit="1"/>
    </xf>
    <xf numFmtId="0" fontId="102" fillId="0" borderId="0" xfId="0" applyFont="1" applyAlignment="1">
      <alignment horizontal="right" vertical="center"/>
    </xf>
    <xf numFmtId="0" fontId="13" fillId="0" borderId="11" xfId="17" applyFont="1" applyBorder="1" applyAlignment="1">
      <alignment horizontal="left" vertical="center" wrapText="1"/>
    </xf>
    <xf numFmtId="0" fontId="112" fillId="3" borderId="13" xfId="9" applyFont="1" applyFill="1" applyBorder="1" applyAlignment="1">
      <alignment horizontal="center" vertical="center" wrapText="1" shrinkToFit="1" readingOrder="1"/>
    </xf>
    <xf numFmtId="202" fontId="6" fillId="5" borderId="82" xfId="0" applyNumberFormat="1" applyFont="1" applyFill="1" applyBorder="1">
      <alignment vertical="center"/>
    </xf>
    <xf numFmtId="38" fontId="113" fillId="5" borderId="82" xfId="0" applyNumberFormat="1" applyFont="1" applyFill="1" applyBorder="1">
      <alignment vertical="center"/>
    </xf>
    <xf numFmtId="0" fontId="104" fillId="0" borderId="0" xfId="6" applyFont="1" applyAlignment="1">
      <alignment horizontal="left" vertical="center"/>
    </xf>
    <xf numFmtId="0" fontId="113" fillId="0" borderId="48" xfId="0" applyFont="1" applyBorder="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13" fillId="0" borderId="0" xfId="17" applyFont="1" applyAlignment="1">
      <alignment vertical="center"/>
    </xf>
    <xf numFmtId="0" fontId="106" fillId="3" borderId="195" xfId="0" applyFont="1" applyFill="1" applyBorder="1" applyAlignment="1">
      <alignment horizontal="center" vertical="center" shrinkToFit="1"/>
    </xf>
    <xf numFmtId="38" fontId="38" fillId="5" borderId="46" xfId="2" applyFont="1" applyFill="1" applyBorder="1" applyAlignment="1">
      <alignment horizontal="right" vertical="center"/>
    </xf>
    <xf numFmtId="38" fontId="38" fillId="5" borderId="51" xfId="0" applyNumberFormat="1" applyFont="1" applyFill="1" applyBorder="1">
      <alignment vertical="center"/>
    </xf>
    <xf numFmtId="38" fontId="38" fillId="5" borderId="7" xfId="0" applyNumberFormat="1" applyFont="1" applyFill="1" applyBorder="1">
      <alignment vertical="center"/>
    </xf>
    <xf numFmtId="38" fontId="38" fillId="5" borderId="3" xfId="0" applyNumberFormat="1" applyFont="1" applyFill="1" applyBorder="1">
      <alignment vertical="center"/>
    </xf>
    <xf numFmtId="0" fontId="0" fillId="13" borderId="0" xfId="0" applyFill="1">
      <alignment vertical="center"/>
    </xf>
    <xf numFmtId="0" fontId="4" fillId="0" borderId="6" xfId="0" applyFont="1" applyBorder="1" applyAlignment="1">
      <alignment horizontal="center" vertical="center" wrapText="1"/>
    </xf>
    <xf numFmtId="0" fontId="107"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6" fillId="0" borderId="0" xfId="6" applyFont="1" applyAlignment="1">
      <alignment horizontal="left" vertical="center"/>
    </xf>
    <xf numFmtId="0" fontId="102" fillId="0" borderId="0" xfId="6" applyFont="1" applyAlignment="1">
      <alignment horizontal="center" vertical="center"/>
    </xf>
    <xf numFmtId="0" fontId="6" fillId="0" borderId="12" xfId="6" applyFont="1" applyBorder="1" applyAlignment="1">
      <alignment horizontal="right" vertical="center"/>
    </xf>
    <xf numFmtId="0" fontId="118" fillId="0" borderId="0" xfId="6" applyFont="1" applyAlignment="1">
      <alignment horizontal="center" vertical="center"/>
    </xf>
    <xf numFmtId="0" fontId="5" fillId="2" borderId="44" xfId="6" applyFont="1" applyFill="1" applyBorder="1" applyAlignment="1">
      <alignment horizontal="center" vertical="center" shrinkToFit="1"/>
    </xf>
    <xf numFmtId="0" fontId="6" fillId="0" borderId="0" xfId="6" applyFont="1" applyAlignment="1">
      <alignment horizontal="center" vertical="center"/>
    </xf>
    <xf numFmtId="206" fontId="6" fillId="7" borderId="77" xfId="6" applyNumberFormat="1" applyFont="1" applyFill="1" applyBorder="1" applyAlignment="1">
      <alignment horizontal="center" vertical="center" wrapText="1"/>
    </xf>
    <xf numFmtId="207" fontId="6" fillId="7" borderId="77" xfId="6" applyNumberFormat="1" applyFont="1" applyFill="1" applyBorder="1" applyAlignment="1">
      <alignment horizontal="center" vertical="center" shrinkToFit="1"/>
    </xf>
    <xf numFmtId="208" fontId="6" fillId="7" borderId="77" xfId="6" applyNumberFormat="1" applyFont="1" applyFill="1" applyBorder="1" applyAlignment="1">
      <alignment horizontal="center" vertical="center" shrinkToFit="1"/>
    </xf>
    <xf numFmtId="209" fontId="6" fillId="7" borderId="77" xfId="6" applyNumberFormat="1" applyFont="1" applyFill="1" applyBorder="1" applyAlignment="1">
      <alignment horizontal="center" vertical="center" shrinkToFit="1"/>
    </xf>
    <xf numFmtId="210" fontId="6" fillId="4" borderId="77" xfId="6" applyNumberFormat="1" applyFont="1" applyFill="1" applyBorder="1" applyAlignment="1">
      <alignment horizontal="center" vertical="center" shrinkToFit="1"/>
    </xf>
    <xf numFmtId="0" fontId="6" fillId="7" borderId="77" xfId="6" applyFont="1" applyFill="1" applyBorder="1" applyAlignment="1">
      <alignment horizontal="center" vertical="center" wrapText="1"/>
    </xf>
    <xf numFmtId="199" fontId="120" fillId="4" borderId="44" xfId="6" applyNumberFormat="1" applyFont="1" applyFill="1" applyBorder="1" applyAlignment="1">
      <alignment horizontal="left" vertical="center" wrapText="1" shrinkToFit="1"/>
    </xf>
    <xf numFmtId="0" fontId="13" fillId="7" borderId="77" xfId="6" applyFont="1" applyFill="1" applyBorder="1" applyAlignment="1">
      <alignment vertical="center" wrapText="1"/>
    </xf>
    <xf numFmtId="0" fontId="6" fillId="0" borderId="179" xfId="6" applyFont="1" applyBorder="1" applyAlignment="1">
      <alignment horizontal="center" vertical="center"/>
    </xf>
    <xf numFmtId="206" fontId="6" fillId="7" borderId="44" xfId="6" applyNumberFormat="1" applyFont="1" applyFill="1" applyBorder="1" applyAlignment="1">
      <alignment horizontal="center" vertical="center" wrapText="1"/>
    </xf>
    <xf numFmtId="207" fontId="6" fillId="7" borderId="44" xfId="6" applyNumberFormat="1" applyFont="1" applyFill="1" applyBorder="1" applyAlignment="1">
      <alignment horizontal="center" vertical="center" shrinkToFit="1"/>
    </xf>
    <xf numFmtId="208" fontId="6" fillId="7" borderId="44" xfId="6" applyNumberFormat="1" applyFont="1" applyFill="1" applyBorder="1" applyAlignment="1">
      <alignment horizontal="center" vertical="center" shrinkToFit="1"/>
    </xf>
    <xf numFmtId="209" fontId="6" fillId="7" borderId="44" xfId="6" applyNumberFormat="1" applyFont="1" applyFill="1" applyBorder="1" applyAlignment="1">
      <alignment horizontal="center" vertical="center" shrinkToFit="1"/>
    </xf>
    <xf numFmtId="210" fontId="6" fillId="4" borderId="44" xfId="6" applyNumberFormat="1" applyFont="1" applyFill="1" applyBorder="1" applyAlignment="1">
      <alignment horizontal="center" vertical="center" shrinkToFit="1"/>
    </xf>
    <xf numFmtId="0" fontId="6" fillId="7" borderId="44" xfId="6" applyFont="1" applyFill="1" applyBorder="1" applyAlignment="1">
      <alignment horizontal="center" vertical="center" wrapText="1"/>
    </xf>
    <xf numFmtId="0" fontId="13" fillId="7" borderId="44" xfId="6" applyFont="1" applyFill="1" applyBorder="1" applyAlignment="1">
      <alignment vertical="center" wrapText="1"/>
    </xf>
    <xf numFmtId="207" fontId="6" fillId="7" borderId="201" xfId="6" applyNumberFormat="1" applyFont="1" applyFill="1" applyBorder="1" applyAlignment="1">
      <alignment horizontal="center" vertical="center" shrinkToFit="1"/>
    </xf>
    <xf numFmtId="209" fontId="6" fillId="7" borderId="201" xfId="6" applyNumberFormat="1" applyFont="1" applyFill="1" applyBorder="1" applyAlignment="1">
      <alignment horizontal="center" vertical="center" shrinkToFit="1"/>
    </xf>
    <xf numFmtId="0" fontId="6" fillId="7" borderId="201" xfId="6" applyFont="1" applyFill="1" applyBorder="1" applyAlignment="1">
      <alignment horizontal="center" vertical="center" wrapText="1"/>
    </xf>
    <xf numFmtId="0" fontId="13" fillId="7" borderId="201" xfId="6" applyFont="1" applyFill="1" applyBorder="1" applyAlignment="1">
      <alignment vertical="center" wrapText="1"/>
    </xf>
    <xf numFmtId="206" fontId="6" fillId="7" borderId="201" xfId="6" applyNumberFormat="1" applyFont="1" applyFill="1" applyBorder="1" applyAlignment="1">
      <alignment horizontal="center" vertical="center" wrapText="1"/>
    </xf>
    <xf numFmtId="206" fontId="6" fillId="18" borderId="201" xfId="6" applyNumberFormat="1" applyFont="1" applyFill="1" applyBorder="1" applyAlignment="1">
      <alignment horizontal="center" vertical="center" wrapText="1"/>
    </xf>
    <xf numFmtId="207" fontId="6" fillId="18" borderId="201" xfId="6" applyNumberFormat="1" applyFont="1" applyFill="1" applyBorder="1" applyAlignment="1">
      <alignment horizontal="center" vertical="center" shrinkToFit="1"/>
    </xf>
    <xf numFmtId="0" fontId="6" fillId="18" borderId="0" xfId="6" applyFont="1" applyFill="1">
      <alignment vertical="center"/>
    </xf>
    <xf numFmtId="211" fontId="6" fillId="18" borderId="44" xfId="6" applyNumberFormat="1" applyFont="1" applyFill="1" applyBorder="1" applyAlignment="1">
      <alignment horizontal="center" vertical="center" wrapText="1"/>
    </xf>
    <xf numFmtId="208" fontId="117" fillId="18" borderId="201" xfId="6" applyNumberFormat="1" applyFont="1" applyFill="1" applyBorder="1" applyAlignment="1">
      <alignment horizontal="center" vertical="center"/>
    </xf>
    <xf numFmtId="210" fontId="6" fillId="18" borderId="201" xfId="6" applyNumberFormat="1" applyFont="1" applyFill="1" applyBorder="1" applyAlignment="1">
      <alignment horizontal="center" vertical="center" wrapText="1"/>
    </xf>
    <xf numFmtId="0" fontId="6" fillId="18" borderId="201" xfId="6" applyFont="1" applyFill="1" applyBorder="1" applyAlignment="1">
      <alignment horizontal="center" vertical="center" wrapText="1"/>
    </xf>
    <xf numFmtId="199" fontId="5" fillId="18" borderId="44" xfId="6" applyNumberFormat="1" applyFont="1" applyFill="1" applyBorder="1" applyAlignment="1">
      <alignment horizontal="left" vertical="center" wrapText="1" shrinkToFit="1"/>
    </xf>
    <xf numFmtId="0" fontId="13" fillId="18" borderId="201"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08" fontId="6" fillId="0" borderId="0" xfId="6" applyNumberFormat="1" applyFont="1" applyAlignment="1">
      <alignment horizontal="center" vertical="center" wrapTex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5" fillId="0" borderId="0" xfId="6" applyNumberFormat="1" applyFont="1" applyAlignment="1">
      <alignment horizontal="left" vertical="center" wrapText="1" shrinkToFit="1"/>
    </xf>
    <xf numFmtId="199" fontId="120"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46" xfId="6" applyFont="1" applyBorder="1" applyAlignment="1">
      <alignment horizontal="center" vertical="center" shrinkToFit="1"/>
    </xf>
    <xf numFmtId="0" fontId="5" fillId="0" borderId="46" xfId="6" applyFont="1" applyBorder="1" applyAlignment="1">
      <alignment horizontal="center" vertical="center" wrapText="1"/>
    </xf>
    <xf numFmtId="210" fontId="6" fillId="0" borderId="46" xfId="6" applyNumberFormat="1" applyFont="1" applyBorder="1" applyAlignment="1">
      <alignment horizontal="center" vertical="center" wrapText="1"/>
    </xf>
    <xf numFmtId="209" fontId="6" fillId="4" borderId="46" xfId="6" applyNumberFormat="1" applyFont="1" applyFill="1" applyBorder="1" applyAlignment="1">
      <alignment horizontal="center" vertical="center" wrapText="1"/>
    </xf>
    <xf numFmtId="210" fontId="6" fillId="4" borderId="46" xfId="6" applyNumberFormat="1" applyFont="1" applyFill="1" applyBorder="1" applyAlignment="1">
      <alignment horizontal="center"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0" fontId="21" fillId="0" borderId="0" xfId="5">
      <alignment vertical="center"/>
    </xf>
    <xf numFmtId="0" fontId="21" fillId="0" borderId="0" xfId="5" applyAlignment="1">
      <alignment vertical="center" wrapText="1"/>
    </xf>
    <xf numFmtId="0" fontId="53" fillId="0" borderId="0" xfId="5" applyFont="1">
      <alignment vertical="center"/>
    </xf>
    <xf numFmtId="0" fontId="122" fillId="0" borderId="46" xfId="5" applyFont="1" applyBorder="1" applyAlignment="1">
      <alignment vertical="center" wrapText="1"/>
    </xf>
    <xf numFmtId="0" fontId="123" fillId="20" borderId="46" xfId="5" applyFont="1" applyFill="1" applyBorder="1" applyAlignment="1">
      <alignment horizontal="center" vertical="center" wrapText="1"/>
    </xf>
    <xf numFmtId="0" fontId="123" fillId="0" borderId="0" xfId="5" applyFont="1" applyAlignment="1">
      <alignment horizontal="left" vertical="center"/>
    </xf>
    <xf numFmtId="0" fontId="122" fillId="20" borderId="46" xfId="5" applyFont="1" applyFill="1" applyBorder="1" applyAlignment="1">
      <alignment horizontal="center" vertical="center"/>
    </xf>
    <xf numFmtId="0" fontId="122" fillId="0" borderId="0" xfId="5" applyFont="1" applyAlignment="1">
      <alignment horizontal="left" vertical="center"/>
    </xf>
    <xf numFmtId="0" fontId="124" fillId="0" borderId="0" xfId="5" applyFont="1">
      <alignment vertical="center"/>
    </xf>
    <xf numFmtId="0" fontId="122" fillId="0" borderId="0" xfId="5" applyFont="1">
      <alignment vertical="center"/>
    </xf>
    <xf numFmtId="0" fontId="122" fillId="0" borderId="0" xfId="5" applyFont="1" applyAlignment="1">
      <alignment vertical="center" wrapText="1"/>
    </xf>
    <xf numFmtId="0" fontId="122" fillId="0" borderId="0" xfId="5" applyFont="1" applyAlignment="1">
      <alignment horizontal="center" vertical="center"/>
    </xf>
    <xf numFmtId="0" fontId="124" fillId="0" borderId="46" xfId="5" applyFont="1" applyBorder="1" applyAlignment="1">
      <alignment horizontal="center" vertical="center" wrapText="1"/>
    </xf>
    <xf numFmtId="0" fontId="122" fillId="0" borderId="46" xfId="5" applyFont="1" applyBorder="1" applyAlignment="1">
      <alignment horizontal="center" vertical="center" wrapText="1"/>
    </xf>
    <xf numFmtId="0" fontId="123" fillId="20" borderId="47" xfId="5" applyFont="1" applyFill="1" applyBorder="1" applyAlignment="1">
      <alignment horizontal="center" vertical="center" wrapText="1"/>
    </xf>
    <xf numFmtId="0" fontId="124" fillId="0" borderId="202" xfId="5" applyFont="1" applyBorder="1" applyAlignment="1">
      <alignment vertical="center" wrapText="1"/>
    </xf>
    <xf numFmtId="0" fontId="124" fillId="0" borderId="203" xfId="5" applyFont="1" applyBorder="1" applyAlignment="1">
      <alignment vertical="center" wrapText="1"/>
    </xf>
    <xf numFmtId="0" fontId="122" fillId="0" borderId="46" xfId="5" applyFont="1" applyBorder="1" applyAlignment="1">
      <alignment vertical="top" wrapText="1"/>
    </xf>
    <xf numFmtId="0" fontId="122" fillId="0" borderId="46" xfId="5" applyFont="1" applyBorder="1" applyAlignment="1">
      <alignment vertical="top"/>
    </xf>
    <xf numFmtId="0" fontId="122" fillId="20" borderId="47" xfId="5" applyFont="1" applyFill="1" applyBorder="1" applyAlignment="1">
      <alignment horizontal="center" vertical="center"/>
    </xf>
    <xf numFmtId="0" fontId="124" fillId="0" borderId="46" xfId="5" applyFont="1" applyBorder="1" applyAlignment="1">
      <alignment vertical="center" wrapText="1"/>
    </xf>
    <xf numFmtId="0" fontId="124" fillId="0" borderId="7" xfId="5" applyFont="1" applyBorder="1">
      <alignment vertical="center"/>
    </xf>
    <xf numFmtId="0" fontId="124" fillId="0" borderId="133" xfId="5" applyFont="1" applyBorder="1" applyAlignment="1">
      <alignment vertical="center" wrapText="1"/>
    </xf>
    <xf numFmtId="0" fontId="124" fillId="0" borderId="134" xfId="5" applyFont="1" applyBorder="1" applyAlignment="1">
      <alignment vertical="center" wrapText="1"/>
    </xf>
    <xf numFmtId="0" fontId="124" fillId="0" borderId="204" xfId="5" applyFont="1" applyBorder="1" applyAlignment="1">
      <alignment vertical="center" wrapText="1"/>
    </xf>
    <xf numFmtId="0" fontId="122" fillId="0" borderId="46" xfId="5" applyFont="1" applyBorder="1" applyAlignment="1">
      <alignment horizontal="left" vertical="top"/>
    </xf>
    <xf numFmtId="0" fontId="124" fillId="0" borderId="7" xfId="5" applyFont="1" applyBorder="1" applyAlignment="1">
      <alignment vertical="center" wrapText="1"/>
    </xf>
    <xf numFmtId="0" fontId="57" fillId="0" borderId="0" xfId="5" applyFont="1">
      <alignment vertical="center"/>
    </xf>
    <xf numFmtId="0" fontId="57" fillId="0" borderId="0" xfId="5" applyFont="1" applyAlignment="1">
      <alignment vertical="center" wrapText="1"/>
    </xf>
    <xf numFmtId="0" fontId="57" fillId="0" borderId="0" xfId="5" applyFont="1" applyAlignment="1">
      <alignment horizontal="center" vertical="center"/>
    </xf>
    <xf numFmtId="0" fontId="122" fillId="0" borderId="0" xfId="5" applyFont="1" applyAlignment="1">
      <alignment horizontal="left" vertical="center" indent="1"/>
    </xf>
    <xf numFmtId="0" fontId="122" fillId="0" borderId="46" xfId="5" applyFont="1" applyBorder="1" applyAlignment="1">
      <alignment vertical="center" wrapText="1" shrinkToFit="1"/>
    </xf>
    <xf numFmtId="0" fontId="122" fillId="20" borderId="46" xfId="5" applyFont="1" applyFill="1" applyBorder="1" applyAlignment="1">
      <alignment horizontal="center" vertical="center" wrapText="1"/>
    </xf>
    <xf numFmtId="0" fontId="125" fillId="0" borderId="46" xfId="5" applyFont="1" applyBorder="1" applyAlignment="1">
      <alignment vertical="center" wrapText="1"/>
    </xf>
    <xf numFmtId="0" fontId="124" fillId="0" borderId="46" xfId="5" applyFont="1" applyBorder="1">
      <alignment vertical="center"/>
    </xf>
    <xf numFmtId="0" fontId="53" fillId="0" borderId="0" xfId="5" applyFont="1" applyAlignment="1">
      <alignment vertical="center" wrapText="1"/>
    </xf>
    <xf numFmtId="0" fontId="53" fillId="0" borderId="0" xfId="5" applyFont="1" applyAlignment="1">
      <alignment horizontal="center" vertical="center"/>
    </xf>
    <xf numFmtId="0" fontId="122" fillId="0" borderId="46" xfId="5" applyFont="1" applyBorder="1" applyAlignment="1">
      <alignment horizontal="left" vertical="center" wrapText="1"/>
    </xf>
    <xf numFmtId="0" fontId="122" fillId="0" borderId="49" xfId="5" applyFont="1" applyBorder="1" applyAlignment="1">
      <alignment horizontal="left" vertical="center" wrapText="1"/>
    </xf>
    <xf numFmtId="0" fontId="53" fillId="0" borderId="0" xfId="5" applyFont="1" applyAlignment="1">
      <alignment horizontal="left" vertical="center" wrapText="1"/>
    </xf>
    <xf numFmtId="0" fontId="122" fillId="0" borderId="3" xfId="5" applyFont="1" applyBorder="1" applyAlignment="1">
      <alignment vertical="center" wrapText="1"/>
    </xf>
    <xf numFmtId="0" fontId="124" fillId="0" borderId="133" xfId="5" applyFont="1" applyBorder="1">
      <alignment vertical="center"/>
    </xf>
    <xf numFmtId="0" fontId="124" fillId="0" borderId="134" xfId="5" applyFont="1" applyBorder="1">
      <alignment vertical="center"/>
    </xf>
    <xf numFmtId="0" fontId="124" fillId="0" borderId="51" xfId="5" applyFont="1" applyBorder="1">
      <alignment vertical="center"/>
    </xf>
    <xf numFmtId="0" fontId="124" fillId="0" borderId="3" xfId="5" applyFont="1" applyBorder="1">
      <alignment vertical="center"/>
    </xf>
    <xf numFmtId="0" fontId="124" fillId="0" borderId="204" xfId="5" applyFont="1" applyBorder="1">
      <alignment vertical="center"/>
    </xf>
    <xf numFmtId="0" fontId="124" fillId="0" borderId="202" xfId="5" applyFont="1" applyBorder="1">
      <alignment vertical="center"/>
    </xf>
    <xf numFmtId="0" fontId="53" fillId="0" borderId="0" xfId="5" applyFont="1" applyAlignment="1">
      <alignment horizontal="left" vertical="center" indent="1"/>
    </xf>
    <xf numFmtId="0" fontId="124" fillId="0" borderId="46" xfId="5" applyFont="1" applyBorder="1" applyAlignment="1">
      <alignment horizontal="center" vertical="center"/>
    </xf>
    <xf numFmtId="0" fontId="124" fillId="0" borderId="203" xfId="5" applyFont="1" applyBorder="1">
      <alignment vertical="center"/>
    </xf>
    <xf numFmtId="0" fontId="128" fillId="7" borderId="9" xfId="18" applyFont="1" applyFill="1" applyBorder="1">
      <alignment vertical="center"/>
    </xf>
    <xf numFmtId="0" fontId="126" fillId="7" borderId="6" xfId="18" applyFont="1" applyFill="1" applyBorder="1">
      <alignment vertical="center"/>
    </xf>
    <xf numFmtId="0" fontId="126" fillId="7" borderId="50" xfId="18" applyFont="1" applyFill="1" applyBorder="1">
      <alignment vertical="center"/>
    </xf>
    <xf numFmtId="0" fontId="126" fillId="0" borderId="0" xfId="6" applyFont="1">
      <alignment vertical="center"/>
    </xf>
    <xf numFmtId="0" fontId="126" fillId="5" borderId="46" xfId="6" applyFont="1" applyFill="1" applyBorder="1" applyAlignment="1">
      <alignment vertical="center" wrapText="1"/>
    </xf>
    <xf numFmtId="0" fontId="126" fillId="5" borderId="47" xfId="6" applyFont="1" applyFill="1" applyBorder="1" applyAlignment="1">
      <alignment vertical="center" wrapText="1"/>
    </xf>
    <xf numFmtId="0" fontId="126" fillId="5" borderId="46" xfId="6" applyFont="1" applyFill="1" applyBorder="1" applyAlignment="1">
      <alignment horizontal="center" vertical="center" wrapText="1"/>
    </xf>
    <xf numFmtId="0" fontId="126" fillId="5" borderId="48" xfId="6" applyFont="1" applyFill="1" applyBorder="1" applyAlignment="1">
      <alignment vertical="center" wrapText="1" shrinkToFit="1"/>
    </xf>
    <xf numFmtId="0" fontId="127" fillId="5" borderId="208" xfId="5" applyFont="1" applyFill="1" applyBorder="1" applyAlignment="1">
      <alignment horizontal="center" vertical="center"/>
    </xf>
    <xf numFmtId="0" fontId="127" fillId="5" borderId="133" xfId="5" applyFont="1" applyFill="1" applyBorder="1" applyAlignment="1">
      <alignment horizontal="center" vertical="center"/>
    </xf>
    <xf numFmtId="0" fontId="126" fillId="0" borderId="133" xfId="6" applyFont="1" applyBorder="1">
      <alignment vertical="center"/>
    </xf>
    <xf numFmtId="0" fontId="126" fillId="0" borderId="209" xfId="6" applyFont="1" applyBorder="1">
      <alignment vertical="center"/>
    </xf>
    <xf numFmtId="0" fontId="126" fillId="0" borderId="51" xfId="6" applyFont="1" applyBorder="1">
      <alignment vertical="center"/>
    </xf>
    <xf numFmtId="0" fontId="127" fillId="0" borderId="6" xfId="6" applyFont="1" applyBorder="1" applyAlignment="1">
      <alignment vertical="center" wrapText="1"/>
    </xf>
    <xf numFmtId="0" fontId="127" fillId="0" borderId="211" xfId="5" applyFont="1" applyBorder="1">
      <alignment vertical="center"/>
    </xf>
    <xf numFmtId="0" fontId="127" fillId="0" borderId="204" xfId="5" applyFont="1" applyBorder="1">
      <alignment vertical="center"/>
    </xf>
    <xf numFmtId="0" fontId="11" fillId="0" borderId="212" xfId="6" applyFont="1" applyBorder="1" applyAlignment="1">
      <alignment vertical="center" wrapText="1"/>
    </xf>
    <xf numFmtId="0" fontId="126" fillId="0" borderId="3" xfId="6" applyFont="1" applyBorder="1">
      <alignment vertical="center"/>
    </xf>
    <xf numFmtId="0" fontId="126" fillId="0" borderId="5" xfId="6" applyFont="1" applyBorder="1">
      <alignment vertical="center"/>
    </xf>
    <xf numFmtId="0" fontId="126" fillId="0" borderId="204" xfId="6" applyFont="1" applyBorder="1">
      <alignment vertical="center"/>
    </xf>
    <xf numFmtId="0" fontId="126" fillId="0" borderId="213" xfId="6" applyFont="1" applyBorder="1">
      <alignment vertical="center"/>
    </xf>
    <xf numFmtId="0" fontId="126" fillId="0" borderId="203" xfId="6" applyFont="1" applyBorder="1">
      <alignment vertical="center"/>
    </xf>
    <xf numFmtId="0" fontId="127" fillId="0" borderId="214" xfId="6" applyFont="1" applyBorder="1">
      <alignment vertical="center"/>
    </xf>
    <xf numFmtId="0" fontId="126" fillId="0" borderId="134" xfId="6" applyFont="1" applyBorder="1">
      <alignment vertical="center"/>
    </xf>
    <xf numFmtId="0" fontId="126" fillId="0" borderId="50" xfId="6" applyFont="1" applyBorder="1">
      <alignment vertical="center"/>
    </xf>
    <xf numFmtId="0" fontId="126" fillId="0" borderId="9" xfId="6" applyFont="1" applyBorder="1">
      <alignment vertical="center"/>
    </xf>
    <xf numFmtId="0" fontId="126" fillId="0" borderId="8" xfId="6" applyFont="1" applyBorder="1">
      <alignment vertical="center"/>
    </xf>
    <xf numFmtId="0" fontId="126" fillId="0" borderId="215" xfId="6" applyFont="1" applyBorder="1">
      <alignment vertical="center"/>
    </xf>
    <xf numFmtId="0" fontId="126" fillId="0" borderId="11" xfId="18" applyFont="1" applyBorder="1">
      <alignment vertical="center"/>
    </xf>
    <xf numFmtId="0" fontId="126" fillId="0" borderId="0" xfId="18" applyFont="1">
      <alignment vertical="center"/>
    </xf>
    <xf numFmtId="0" fontId="126" fillId="0" borderId="8" xfId="18" applyFont="1" applyBorder="1">
      <alignment vertical="center"/>
    </xf>
    <xf numFmtId="0" fontId="126" fillId="0" borderId="216" xfId="6" applyFont="1" applyBorder="1">
      <alignment vertical="center"/>
    </xf>
    <xf numFmtId="0" fontId="126" fillId="0" borderId="11" xfId="6" applyFont="1" applyBorder="1">
      <alignment vertical="center"/>
    </xf>
    <xf numFmtId="0" fontId="130" fillId="0" borderId="11" xfId="18" applyFont="1" applyBorder="1" applyAlignment="1">
      <alignment horizontal="left" vertical="center" indent="2"/>
    </xf>
    <xf numFmtId="0" fontId="130" fillId="0" borderId="0" xfId="18" applyFont="1" applyAlignment="1">
      <alignment horizontal="left" vertical="center" indent="2"/>
    </xf>
    <xf numFmtId="0" fontId="130" fillId="0" borderId="8" xfId="18" applyFont="1" applyBorder="1" applyAlignment="1">
      <alignment horizontal="left" vertical="center" indent="2"/>
    </xf>
    <xf numFmtId="0" fontId="126" fillId="0" borderId="11" xfId="18" applyFont="1" applyBorder="1" applyAlignment="1">
      <alignment horizontal="left" vertical="center" indent="2"/>
    </xf>
    <xf numFmtId="0" fontId="126" fillId="0" borderId="0" xfId="18" applyFont="1" applyAlignment="1">
      <alignment horizontal="left" vertical="center" indent="2"/>
    </xf>
    <xf numFmtId="0" fontId="126" fillId="0" borderId="8" xfId="18" applyFont="1" applyBorder="1" applyAlignment="1">
      <alignment horizontal="left" vertical="center" indent="2"/>
    </xf>
    <xf numFmtId="0" fontId="126" fillId="0" borderId="11" xfId="18" applyFont="1" applyBorder="1" applyAlignment="1">
      <alignment horizontal="left" vertical="center" indent="1"/>
    </xf>
    <xf numFmtId="0" fontId="126" fillId="0" borderId="0" xfId="18" applyFont="1" applyAlignment="1">
      <alignment horizontal="left" vertical="center" indent="1"/>
    </xf>
    <xf numFmtId="0" fontId="126" fillId="0" borderId="8" xfId="18" applyFont="1" applyBorder="1" applyAlignment="1">
      <alignment horizontal="left" vertical="center" indent="1"/>
    </xf>
    <xf numFmtId="0" fontId="126" fillId="0" borderId="5" xfId="18" applyFont="1" applyBorder="1" applyAlignment="1">
      <alignment horizontal="left" vertical="center" indent="2"/>
    </xf>
    <xf numFmtId="0" fontId="126" fillId="0" borderId="12" xfId="18" applyFont="1" applyBorder="1" applyAlignment="1">
      <alignment horizontal="left" vertical="center" indent="1"/>
    </xf>
    <xf numFmtId="0" fontId="126" fillId="0" borderId="13" xfId="18" applyFont="1" applyBorder="1" applyAlignment="1">
      <alignment horizontal="left" vertical="center" indent="1"/>
    </xf>
    <xf numFmtId="0" fontId="126" fillId="21" borderId="217" xfId="6" applyFont="1" applyFill="1" applyBorder="1" applyAlignment="1">
      <alignment horizontal="center" vertical="center" shrinkToFit="1"/>
    </xf>
    <xf numFmtId="0" fontId="127" fillId="0" borderId="203" xfId="5" applyFont="1" applyBorder="1">
      <alignment vertical="center"/>
    </xf>
    <xf numFmtId="0" fontId="127" fillId="5" borderId="210" xfId="5" applyFont="1" applyFill="1" applyBorder="1" applyAlignment="1">
      <alignment horizontal="center" vertical="center"/>
    </xf>
    <xf numFmtId="0" fontId="126" fillId="0" borderId="0" xfId="6" applyFont="1" applyAlignment="1">
      <alignment horizontal="center" vertical="center"/>
    </xf>
    <xf numFmtId="0" fontId="127" fillId="0" borderId="204" xfId="5" applyFont="1" applyBorder="1" applyAlignment="1">
      <alignment vertical="center" shrinkToFit="1"/>
    </xf>
    <xf numFmtId="0" fontId="127" fillId="0" borderId="218" xfId="5" applyFont="1" applyBorder="1" applyAlignment="1">
      <alignment vertical="center" shrinkToFit="1"/>
    </xf>
    <xf numFmtId="0" fontId="127" fillId="0" borderId="0" xfId="5" applyFont="1">
      <alignment vertical="center"/>
    </xf>
    <xf numFmtId="0" fontId="126" fillId="21" borderId="46" xfId="6" applyFont="1" applyFill="1" applyBorder="1" applyAlignment="1">
      <alignment horizontal="center" vertical="center" shrinkToFit="1"/>
    </xf>
    <xf numFmtId="0" fontId="127" fillId="0" borderId="202" xfId="5" applyFont="1" applyBorder="1">
      <alignment vertical="center"/>
    </xf>
    <xf numFmtId="0" fontId="126" fillId="7" borderId="219" xfId="6" applyFont="1" applyFill="1" applyBorder="1">
      <alignment vertical="center"/>
    </xf>
    <xf numFmtId="0" fontId="126" fillId="0" borderId="11" xfId="6" applyFont="1" applyBorder="1" applyAlignment="1">
      <alignment horizontal="center" vertical="center"/>
    </xf>
    <xf numFmtId="0" fontId="126" fillId="0" borderId="220" xfId="6" applyFont="1" applyBorder="1" applyAlignment="1">
      <alignment vertical="center" shrinkToFit="1"/>
    </xf>
    <xf numFmtId="0" fontId="126" fillId="0" borderId="11" xfId="6" applyFont="1" applyBorder="1" applyAlignment="1">
      <alignment vertical="center" shrinkToFit="1"/>
    </xf>
    <xf numFmtId="0" fontId="126" fillId="0" borderId="0" xfId="6" applyFont="1" applyAlignment="1">
      <alignment vertical="center" shrinkToFit="1"/>
    </xf>
    <xf numFmtId="0" fontId="126" fillId="0" borderId="213" xfId="6" applyFont="1" applyBorder="1" applyAlignment="1">
      <alignment vertical="center" shrinkToFit="1"/>
    </xf>
    <xf numFmtId="0" fontId="126" fillId="0" borderId="216" xfId="6" applyFont="1" applyBorder="1" applyAlignment="1">
      <alignment vertical="center" shrinkToFit="1"/>
    </xf>
    <xf numFmtId="0" fontId="126" fillId="7" borderId="0" xfId="6" applyFont="1" applyFill="1">
      <alignment vertical="center"/>
    </xf>
    <xf numFmtId="0" fontId="127" fillId="0" borderId="221" xfId="5" applyFont="1" applyBorder="1">
      <alignment vertical="center"/>
    </xf>
    <xf numFmtId="0" fontId="126" fillId="7" borderId="222" xfId="6" applyFont="1" applyFill="1" applyBorder="1">
      <alignment vertical="center"/>
    </xf>
    <xf numFmtId="0" fontId="126" fillId="7" borderId="223" xfId="6" applyFont="1" applyFill="1" applyBorder="1">
      <alignment vertical="center"/>
    </xf>
    <xf numFmtId="0" fontId="131" fillId="22" borderId="0" xfId="5" applyFont="1" applyFill="1">
      <alignment vertical="center"/>
    </xf>
    <xf numFmtId="0" fontId="131" fillId="22" borderId="0" xfId="6" applyFont="1" applyFill="1">
      <alignment vertical="center"/>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78" fillId="0" borderId="47" xfId="0" applyFont="1" applyBorder="1">
      <alignment vertical="center"/>
    </xf>
    <xf numFmtId="0" fontId="0" fillId="0" borderId="47" xfId="0" applyBorder="1">
      <alignment vertical="center"/>
    </xf>
    <xf numFmtId="0" fontId="0" fillId="0" borderId="48" xfId="0" applyBorder="1">
      <alignment vertical="center"/>
    </xf>
    <xf numFmtId="38" fontId="10" fillId="13" borderId="46" xfId="2" applyFont="1" applyFill="1" applyBorder="1" applyAlignment="1">
      <alignment vertical="center" wrapText="1"/>
    </xf>
    <xf numFmtId="0" fontId="78" fillId="0" borderId="11" xfId="0" applyFont="1" applyBorder="1">
      <alignment vertical="center"/>
    </xf>
    <xf numFmtId="0" fontId="78" fillId="0" borderId="0" xfId="0" applyFont="1">
      <alignment vertical="center"/>
    </xf>
    <xf numFmtId="0" fontId="78"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5" borderId="12" xfId="6" applyFont="1" applyFill="1" applyBorder="1" applyAlignment="1">
      <alignment horizontal="left" vertical="center"/>
    </xf>
    <xf numFmtId="199" fontId="120" fillId="10" borderId="44" xfId="6" applyNumberFormat="1" applyFont="1" applyFill="1" applyBorder="1" applyAlignment="1">
      <alignment horizontal="left" vertical="center" wrapText="1" shrinkToFit="1"/>
    </xf>
    <xf numFmtId="58" fontId="8" fillId="0" borderId="0" xfId="0" applyNumberFormat="1" applyFont="1" applyAlignment="1">
      <alignment horizontal="right"/>
    </xf>
    <xf numFmtId="204" fontId="8" fillId="0" borderId="0" xfId="14" applyNumberFormat="1" applyFont="1"/>
    <xf numFmtId="0" fontId="8" fillId="0" borderId="0" xfId="14" applyFont="1" applyAlignment="1">
      <alignment horizontal="left"/>
    </xf>
    <xf numFmtId="0" fontId="8" fillId="0" borderId="0" xfId="14" applyFont="1"/>
    <xf numFmtId="0" fontId="134"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vertical="center" wrapText="1"/>
    </xf>
    <xf numFmtId="0" fontId="23" fillId="0" borderId="0" xfId="12" applyFont="1">
      <alignment vertical="center"/>
    </xf>
    <xf numFmtId="0" fontId="137" fillId="0" borderId="0" xfId="12" applyFont="1">
      <alignment vertical="center"/>
    </xf>
    <xf numFmtId="0" fontId="9" fillId="0" borderId="0" xfId="12" applyFont="1" applyAlignment="1">
      <alignment vertical="center" wrapText="1"/>
    </xf>
    <xf numFmtId="0" fontId="44" fillId="0" borderId="0" xfId="12" applyFont="1" applyAlignment="1">
      <alignment vertical="center" wrapText="1"/>
    </xf>
    <xf numFmtId="0" fontId="44"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58" fontId="8" fillId="7" borderId="0" xfId="0" applyNumberFormat="1" applyFont="1" applyFill="1" applyAlignment="1">
      <alignment horizontal="right" vertical="center"/>
    </xf>
    <xf numFmtId="0" fontId="23" fillId="5" borderId="46" xfId="0" applyFont="1" applyFill="1" applyBorder="1" applyAlignment="1">
      <alignment horizontal="center" vertical="center"/>
    </xf>
    <xf numFmtId="0" fontId="8" fillId="5" borderId="1" xfId="0" applyFont="1" applyFill="1" applyBorder="1" applyAlignment="1">
      <alignment horizontal="center" vertical="center"/>
    </xf>
    <xf numFmtId="0" fontId="90" fillId="0" borderId="0" xfId="0" applyFont="1">
      <alignment vertical="center"/>
    </xf>
    <xf numFmtId="0" fontId="9" fillId="0" borderId="12" xfId="0" applyFont="1" applyBorder="1">
      <alignment vertical="center"/>
    </xf>
    <xf numFmtId="0" fontId="93" fillId="23" borderId="46" xfId="0" applyFont="1" applyFill="1" applyBorder="1" applyAlignment="1">
      <alignment horizontal="center" vertical="center" shrinkToFit="1"/>
    </xf>
    <xf numFmtId="0" fontId="8" fillId="7" borderId="1" xfId="0" applyFont="1" applyFill="1" applyBorder="1">
      <alignment vertical="center"/>
    </xf>
    <xf numFmtId="0" fontId="8" fillId="23" borderId="1" xfId="0" applyFont="1" applyFill="1" applyBorder="1">
      <alignment vertical="center"/>
    </xf>
    <xf numFmtId="0" fontId="23" fillId="23" borderId="46" xfId="0" applyFont="1" applyFill="1" applyBorder="1" applyAlignment="1">
      <alignment horizontal="center" vertical="center"/>
    </xf>
    <xf numFmtId="0" fontId="9" fillId="0" borderId="65" xfId="0" applyFont="1" applyBorder="1" applyAlignment="1">
      <alignment horizontal="center" vertical="top" textRotation="255" wrapText="1"/>
    </xf>
    <xf numFmtId="0" fontId="9" fillId="0" borderId="46" xfId="0" applyFont="1" applyBorder="1" applyAlignment="1">
      <alignment horizontal="center" vertical="top" textRotation="255" wrapText="1"/>
    </xf>
    <xf numFmtId="0" fontId="9" fillId="0" borderId="46" xfId="0" applyFont="1" applyBorder="1" applyAlignment="1">
      <alignment vertical="top" textRotation="255" wrapText="1"/>
    </xf>
    <xf numFmtId="0" fontId="44" fillId="9" borderId="227" xfId="0" applyFont="1" applyFill="1" applyBorder="1" applyAlignment="1">
      <alignment horizontal="center" vertical="top" wrapText="1"/>
    </xf>
    <xf numFmtId="0" fontId="15" fillId="9" borderId="228" xfId="0" applyFont="1" applyFill="1" applyBorder="1" applyAlignment="1">
      <alignment horizontal="left" vertical="center" shrinkToFit="1"/>
    </xf>
    <xf numFmtId="0" fontId="67" fillId="3" borderId="229" xfId="0" applyFont="1" applyFill="1" applyBorder="1" applyAlignment="1">
      <alignment horizontal="center" vertical="center" wrapText="1"/>
    </xf>
    <xf numFmtId="0" fontId="8" fillId="8" borderId="46" xfId="0" applyFont="1" applyFill="1" applyBorder="1" applyAlignment="1">
      <alignment horizontal="left" vertical="center"/>
    </xf>
    <xf numFmtId="0" fontId="8" fillId="0" borderId="0" xfId="0" applyFont="1" applyAlignment="1">
      <alignment horizontal="left"/>
    </xf>
    <xf numFmtId="184" fontId="48" fillId="0" borderId="9" xfId="2" applyNumberFormat="1" applyFont="1" applyFill="1" applyBorder="1" applyAlignment="1">
      <alignment horizontal="center" vertical="center" textRotation="255" shrinkToFit="1"/>
    </xf>
    <xf numFmtId="0" fontId="9" fillId="23" borderId="5" xfId="0" applyFont="1" applyFill="1" applyBorder="1" applyAlignment="1">
      <alignment horizontal="right" vertical="center" shrinkToFit="1"/>
    </xf>
    <xf numFmtId="0" fontId="19" fillId="23" borderId="12" xfId="0" applyFont="1" applyFill="1" applyBorder="1" applyAlignment="1">
      <alignment horizontal="center" vertical="center" shrinkToFit="1"/>
    </xf>
    <xf numFmtId="0" fontId="9" fillId="23" borderId="13" xfId="0" applyFont="1" applyFill="1" applyBorder="1" applyAlignment="1">
      <alignment horizontal="left" vertical="center" shrinkToFit="1"/>
    </xf>
    <xf numFmtId="0" fontId="0" fillId="0" borderId="0" xfId="0" applyAlignment="1">
      <alignment vertical="center" wrapText="1"/>
    </xf>
    <xf numFmtId="0" fontId="0" fillId="0" borderId="48" xfId="0" applyBorder="1" applyAlignment="1">
      <alignment vertical="center" wrapText="1"/>
    </xf>
    <xf numFmtId="0" fontId="93" fillId="23" borderId="0" xfId="0" applyFont="1" applyFill="1" applyAlignment="1">
      <alignment horizontal="center" vertical="center"/>
    </xf>
    <xf numFmtId="0" fontId="93" fillId="23" borderId="6" xfId="0" applyFont="1" applyFill="1" applyBorder="1" applyAlignment="1">
      <alignment horizontal="center" vertical="center"/>
    </xf>
    <xf numFmtId="0" fontId="16" fillId="3" borderId="230" xfId="0" applyFont="1" applyFill="1" applyBorder="1">
      <alignment vertical="center"/>
    </xf>
    <xf numFmtId="0" fontId="16" fillId="3" borderId="214" xfId="0" applyFont="1" applyFill="1" applyBorder="1">
      <alignment vertical="center"/>
    </xf>
    <xf numFmtId="0" fontId="16" fillId="3" borderId="231" xfId="0" applyFont="1" applyFill="1" applyBorder="1">
      <alignment vertical="center"/>
    </xf>
    <xf numFmtId="0" fontId="16" fillId="3" borderId="232" xfId="0" applyFont="1" applyFill="1" applyBorder="1">
      <alignment vertical="center"/>
    </xf>
    <xf numFmtId="214" fontId="10" fillId="15" borderId="46" xfId="2" applyNumberFormat="1" applyFont="1" applyFill="1" applyBorder="1" applyAlignment="1">
      <alignment vertical="center" shrinkToFit="1"/>
    </xf>
    <xf numFmtId="214" fontId="71" fillId="0" borderId="0" xfId="2" applyNumberFormat="1" applyFont="1" applyAlignment="1">
      <alignment vertical="center" shrinkToFit="1"/>
    </xf>
    <xf numFmtId="0" fontId="9" fillId="0" borderId="47" xfId="6" applyFont="1" applyBorder="1">
      <alignment vertical="center"/>
    </xf>
    <xf numFmtId="0" fontId="9" fillId="0" borderId="49" xfId="6" applyFont="1" applyBorder="1">
      <alignment vertical="center"/>
    </xf>
    <xf numFmtId="0" fontId="9" fillId="0" borderId="46" xfId="6" applyFont="1" applyBorder="1">
      <alignment vertical="center"/>
    </xf>
    <xf numFmtId="0" fontId="4" fillId="0" borderId="0" xfId="0" applyFont="1" applyAlignment="1">
      <alignment vertical="center" wrapText="1"/>
    </xf>
    <xf numFmtId="0" fontId="4" fillId="13" borderId="6" xfId="0" applyFont="1" applyFill="1" applyBorder="1" applyAlignment="1">
      <alignmen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11" fillId="0" borderId="7" xfId="0" applyFont="1" applyBorder="1">
      <alignment vertical="center"/>
    </xf>
    <xf numFmtId="0" fontId="5" fillId="0" borderId="46" xfId="0" applyFont="1" applyBorder="1" applyAlignment="1">
      <alignment horizontal="left" vertical="center" wrapText="1"/>
    </xf>
    <xf numFmtId="0" fontId="5" fillId="0" borderId="7" xfId="0" applyFont="1" applyBorder="1" applyAlignment="1">
      <alignment horizontal="center" vertical="center"/>
    </xf>
    <xf numFmtId="0" fontId="11" fillId="0" borderId="9" xfId="0" applyFont="1" applyBorder="1">
      <alignment vertical="center"/>
    </xf>
    <xf numFmtId="0" fontId="11" fillId="0" borderId="11" xfId="0" applyFont="1" applyBorder="1">
      <alignment vertical="center"/>
    </xf>
    <xf numFmtId="0" fontId="11" fillId="0" borderId="5" xfId="0" applyFont="1" applyBorder="1">
      <alignment vertical="center"/>
    </xf>
    <xf numFmtId="0" fontId="7" fillId="0" borderId="0" xfId="0" applyFont="1">
      <alignment vertical="center"/>
    </xf>
    <xf numFmtId="0" fontId="54" fillId="0" borderId="0" xfId="0" applyFont="1" applyAlignment="1">
      <alignment vertical="center" wrapText="1"/>
    </xf>
    <xf numFmtId="0" fontId="13" fillId="0" borderId="0" xfId="0" applyFont="1" applyAlignment="1">
      <alignment vertical="center" wrapText="1"/>
    </xf>
    <xf numFmtId="38" fontId="0" fillId="23" borderId="46" xfId="2" applyFont="1" applyFill="1" applyBorder="1">
      <alignment vertical="center"/>
    </xf>
    <xf numFmtId="38" fontId="44" fillId="0" borderId="243" xfId="2" applyFont="1" applyBorder="1" applyAlignment="1">
      <alignment vertical="center" wrapText="1"/>
    </xf>
    <xf numFmtId="0" fontId="48" fillId="5" borderId="3" xfId="0" applyFont="1" applyFill="1" applyBorder="1">
      <alignment vertical="center"/>
    </xf>
    <xf numFmtId="0" fontId="48" fillId="5" borderId="134" xfId="0" applyFont="1" applyFill="1" applyBorder="1">
      <alignment vertical="center"/>
    </xf>
    <xf numFmtId="0" fontId="54" fillId="0" borderId="0" xfId="6" applyFont="1">
      <alignment vertical="center"/>
    </xf>
    <xf numFmtId="0" fontId="105" fillId="2" borderId="9" xfId="6" applyFont="1" applyFill="1" applyBorder="1" applyAlignment="1">
      <alignment horizontal="center" vertical="center" wrapText="1"/>
    </xf>
    <xf numFmtId="0" fontId="105" fillId="2" borderId="169" xfId="6" applyFont="1" applyFill="1" applyBorder="1" applyAlignment="1">
      <alignment horizontal="center" vertical="center" wrapText="1"/>
    </xf>
    <xf numFmtId="0" fontId="106" fillId="2" borderId="6" xfId="13" applyFont="1" applyFill="1" applyBorder="1" applyAlignment="1">
      <alignment horizontal="center" vertical="center" wrapText="1"/>
    </xf>
    <xf numFmtId="0" fontId="106" fillId="2" borderId="9" xfId="13" applyFont="1" applyFill="1" applyBorder="1" applyAlignment="1">
      <alignment horizontal="center" vertical="center" wrapText="1"/>
    </xf>
    <xf numFmtId="0" fontId="105" fillId="2" borderId="51" xfId="6" applyFont="1" applyFill="1" applyBorder="1" applyAlignment="1">
      <alignment horizontal="center" vertical="center" wrapText="1"/>
    </xf>
    <xf numFmtId="0" fontId="113" fillId="2" borderId="160" xfId="13" applyFont="1" applyFill="1" applyBorder="1" applyAlignment="1">
      <alignment horizontal="center" vertical="center" wrapText="1" shrinkToFit="1"/>
    </xf>
    <xf numFmtId="0" fontId="116" fillId="10" borderId="105" xfId="13" applyFont="1" applyFill="1" applyBorder="1" applyAlignment="1">
      <alignment horizontal="center" vertical="center" wrapText="1" shrinkToFit="1"/>
    </xf>
    <xf numFmtId="0" fontId="116" fillId="10" borderId="66" xfId="13" applyFont="1" applyFill="1" applyBorder="1" applyAlignment="1">
      <alignment horizontal="center" vertical="center" wrapText="1" shrinkToFit="1"/>
    </xf>
    <xf numFmtId="0" fontId="116" fillId="10" borderId="169" xfId="13" applyFont="1" applyFill="1" applyBorder="1" applyAlignment="1">
      <alignment horizontal="center" vertical="center" wrapText="1" shrinkToFit="1"/>
    </xf>
    <xf numFmtId="0" fontId="116" fillId="10" borderId="173" xfId="13" applyFont="1" applyFill="1" applyBorder="1" applyAlignment="1">
      <alignment horizontal="center" vertical="center" wrapText="1" shrinkToFit="1"/>
    </xf>
    <xf numFmtId="38" fontId="113" fillId="0" borderId="48" xfId="2" applyFont="1" applyFill="1" applyBorder="1" applyAlignment="1">
      <alignment horizontal="right" vertical="center"/>
    </xf>
    <xf numFmtId="0" fontId="13" fillId="0" borderId="11" xfId="17" applyFont="1" applyBorder="1" applyAlignment="1">
      <alignment horizontal="left" vertical="center"/>
    </xf>
    <xf numFmtId="0" fontId="12" fillId="0" borderId="11" xfId="0" applyFont="1" applyBorder="1">
      <alignment vertical="center"/>
    </xf>
    <xf numFmtId="0" fontId="151" fillId="2" borderId="44" xfId="13" applyFont="1" applyFill="1" applyBorder="1" applyAlignment="1">
      <alignment horizontal="center" vertical="center" wrapText="1"/>
    </xf>
    <xf numFmtId="0" fontId="5" fillId="10" borderId="44" xfId="13" applyFont="1" applyFill="1" applyBorder="1" applyAlignment="1">
      <alignment horizontal="center" vertical="center"/>
    </xf>
    <xf numFmtId="0" fontId="106" fillId="3" borderId="195" xfId="0" applyFont="1" applyFill="1" applyBorder="1" applyAlignment="1">
      <alignment horizontal="center" vertical="center"/>
    </xf>
    <xf numFmtId="0" fontId="110" fillId="3" borderId="195" xfId="0" applyFont="1" applyFill="1" applyBorder="1" applyAlignment="1">
      <alignment horizontal="left" vertical="center" wrapText="1"/>
    </xf>
    <xf numFmtId="0" fontId="110" fillId="3" borderId="197" xfId="0" applyFont="1" applyFill="1" applyBorder="1" applyAlignment="1">
      <alignment horizontal="left" vertical="center" wrapText="1"/>
    </xf>
    <xf numFmtId="0" fontId="0" fillId="0" borderId="49" xfId="0" applyBorder="1" applyAlignment="1">
      <alignment vertical="center" shrinkToFit="1"/>
    </xf>
    <xf numFmtId="199" fontId="120" fillId="5" borderId="44" xfId="6" applyNumberFormat="1" applyFont="1" applyFill="1" applyBorder="1" applyAlignment="1">
      <alignment horizontal="left" vertical="center" wrapText="1" shrinkToFit="1"/>
    </xf>
    <xf numFmtId="210" fontId="6" fillId="5" borderId="77" xfId="6" applyNumberFormat="1" applyFont="1" applyFill="1" applyBorder="1" applyAlignment="1">
      <alignment horizontal="center" vertical="center" shrinkToFit="1"/>
    </xf>
    <xf numFmtId="210" fontId="6" fillId="5" borderId="44" xfId="6" applyNumberFormat="1" applyFont="1" applyFill="1" applyBorder="1" applyAlignment="1">
      <alignment horizontal="center" vertical="center" shrinkToFit="1"/>
    </xf>
    <xf numFmtId="0" fontId="7" fillId="0" borderId="0" xfId="6" applyFont="1" applyAlignment="1">
      <alignment horizontal="left" vertical="center"/>
    </xf>
    <xf numFmtId="38" fontId="38" fillId="5" borderId="0" xfId="0" applyNumberFormat="1" applyFont="1" applyFill="1">
      <alignment vertical="center"/>
    </xf>
    <xf numFmtId="38" fontId="6" fillId="0" borderId="116" xfId="0" applyNumberFormat="1" applyFont="1" applyBorder="1" applyAlignment="1">
      <alignment vertical="center" shrinkToFit="1"/>
    </xf>
    <xf numFmtId="0" fontId="106" fillId="3" borderId="247" xfId="0" applyFont="1" applyFill="1" applyBorder="1" applyAlignment="1">
      <alignment horizontal="center" vertical="center" shrinkToFit="1"/>
    </xf>
    <xf numFmtId="0" fontId="6" fillId="5" borderId="81" xfId="0" applyFont="1" applyFill="1" applyBorder="1">
      <alignment vertical="center"/>
    </xf>
    <xf numFmtId="0" fontId="75" fillId="0" borderId="48" xfId="0" applyFont="1" applyBorder="1" applyAlignment="1">
      <alignment horizontal="left" vertical="center"/>
    </xf>
    <xf numFmtId="0" fontId="72"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Border="1" applyAlignment="1">
      <alignment horizontal="center" vertical="center" wrapText="1"/>
    </xf>
    <xf numFmtId="194" fontId="0" fillId="14" borderId="46" xfId="0" applyNumberFormat="1" applyFill="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Border="1" applyAlignment="1">
      <alignment horizontal="center" vertical="center" shrinkToFit="1"/>
    </xf>
    <xf numFmtId="195" fontId="74" fillId="14" borderId="27" xfId="0" applyNumberFormat="1" applyFont="1" applyFill="1" applyBorder="1" applyAlignment="1">
      <alignment horizontal="center" vertical="center" shrinkToFit="1"/>
    </xf>
    <xf numFmtId="195" fontId="74" fillId="0" borderId="27" xfId="0" applyNumberFormat="1" applyFont="1" applyBorder="1" applyAlignment="1">
      <alignment horizontal="center" vertical="center" shrinkToFit="1"/>
    </xf>
    <xf numFmtId="195" fontId="74" fillId="14" borderId="46" xfId="0" applyNumberFormat="1" applyFont="1" applyFill="1" applyBorder="1" applyAlignment="1">
      <alignment horizontal="center" vertical="center" shrinkToFit="1"/>
    </xf>
    <xf numFmtId="195" fontId="74"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4" fillId="14" borderId="88" xfId="0" applyNumberFormat="1" applyFont="1" applyFill="1" applyBorder="1" applyAlignment="1">
      <alignment horizontal="center" vertical="center" shrinkToFit="1"/>
    </xf>
    <xf numFmtId="0" fontId="2" fillId="0" borderId="0" xfId="0" applyFont="1">
      <alignment vertical="center"/>
    </xf>
    <xf numFmtId="0" fontId="10" fillId="0" borderId="0" xfId="0" applyFont="1" applyAlignment="1">
      <alignment vertical="center" shrinkToFit="1"/>
    </xf>
    <xf numFmtId="0" fontId="76" fillId="0" borderId="48" xfId="0" applyFont="1" applyBorder="1" applyAlignment="1">
      <alignment horizontal="left" vertical="center"/>
    </xf>
    <xf numFmtId="0" fontId="71" fillId="0" borderId="0" xfId="0" applyFont="1" applyAlignment="1">
      <alignment vertical="center" shrinkToFit="1"/>
    </xf>
    <xf numFmtId="38" fontId="71" fillId="0" borderId="0" xfId="2" applyFont="1" applyAlignment="1">
      <alignment vertical="center" shrinkToFit="1"/>
    </xf>
    <xf numFmtId="0" fontId="71" fillId="0" borderId="0" xfId="0" applyFont="1">
      <alignment vertical="center"/>
    </xf>
    <xf numFmtId="191" fontId="71" fillId="0" borderId="0" xfId="1" applyNumberFormat="1" applyFont="1" applyAlignment="1">
      <alignment vertical="center" shrinkToFit="1"/>
    </xf>
    <xf numFmtId="195" fontId="74" fillId="3" borderId="27" xfId="0" applyNumberFormat="1" applyFont="1" applyFill="1" applyBorder="1" applyAlignment="1">
      <alignment horizontal="center" vertical="center" shrinkToFit="1"/>
    </xf>
    <xf numFmtId="195" fontId="74"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4" fillId="0" borderId="0" xfId="0" applyFont="1" applyAlignment="1">
      <alignment horizontal="center" vertical="center" shrinkToFit="1"/>
    </xf>
    <xf numFmtId="0" fontId="52" fillId="0" borderId="46" xfId="16"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Border="1" applyAlignment="1">
      <alignment vertical="center" shrinkToFit="1"/>
    </xf>
    <xf numFmtId="38" fontId="10" fillId="0" borderId="46" xfId="2" applyFont="1" applyFill="1" applyBorder="1" applyAlignment="1">
      <alignment vertical="center" shrinkToFit="1"/>
    </xf>
    <xf numFmtId="38" fontId="10" fillId="0" borderId="46" xfId="2" applyFont="1" applyBorder="1" applyAlignment="1">
      <alignment vertical="center" shrinkToFit="1"/>
    </xf>
    <xf numFmtId="38" fontId="10" fillId="13" borderId="46" xfId="2"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2" applyFont="1" applyFill="1" applyBorder="1" applyAlignment="1">
      <alignment vertical="center" shrinkToFit="1"/>
    </xf>
    <xf numFmtId="38" fontId="10" fillId="14" borderId="47" xfId="2" applyFont="1" applyFill="1" applyBorder="1" applyAlignment="1">
      <alignment vertical="center" shrinkToFit="1"/>
    </xf>
    <xf numFmtId="38" fontId="10" fillId="0" borderId="47" xfId="2" applyFont="1" applyBorder="1" applyAlignment="1">
      <alignment horizontal="right" vertical="center" shrinkToFit="1"/>
    </xf>
    <xf numFmtId="38" fontId="10" fillId="0" borderId="3" xfId="2" applyFont="1" applyBorder="1" applyAlignment="1">
      <alignment vertical="center" shrinkToFit="1"/>
    </xf>
    <xf numFmtId="38" fontId="10" fillId="14" borderId="3" xfId="2" applyFont="1" applyFill="1" applyBorder="1" applyAlignment="1">
      <alignment vertical="center" shrinkToFit="1"/>
    </xf>
    <xf numFmtId="38" fontId="10" fillId="13" borderId="3" xfId="2" applyFont="1" applyFill="1" applyBorder="1" applyAlignment="1">
      <alignment vertical="center" shrinkToFit="1"/>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76" fillId="0" borderId="6" xfId="0" applyFont="1" applyBorder="1" applyAlignment="1">
      <alignment horizontal="left" vertical="center"/>
    </xf>
    <xf numFmtId="38" fontId="71"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38" fontId="71" fillId="0" borderId="0" xfId="2" applyFont="1" applyFill="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2" applyFont="1" applyFill="1" applyBorder="1" applyAlignment="1">
      <alignment vertical="center" shrinkToFit="1"/>
    </xf>
    <xf numFmtId="38" fontId="10"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78"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2" applyFont="1" applyFill="1" applyBorder="1" applyAlignment="1">
      <alignment horizontal="right" vertical="center" shrinkToFit="1"/>
    </xf>
    <xf numFmtId="38" fontId="10" fillId="3" borderId="46" xfId="2" applyFont="1" applyFill="1" applyBorder="1" applyAlignment="1">
      <alignment vertical="center" wrapText="1"/>
    </xf>
    <xf numFmtId="0" fontId="0" fillId="0" borderId="49" xfId="0" applyBorder="1">
      <alignment vertical="center"/>
    </xf>
    <xf numFmtId="0" fontId="2" fillId="11" borderId="0" xfId="0" applyFont="1" applyFill="1">
      <alignment vertical="center"/>
    </xf>
    <xf numFmtId="0" fontId="0" fillId="11" borderId="0" xfId="0" applyFill="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2" applyFont="1" applyFill="1" applyBorder="1" applyAlignment="1">
      <alignment vertical="center" shrinkToFit="1"/>
    </xf>
    <xf numFmtId="0" fontId="10" fillId="3" borderId="46" xfId="0" applyFont="1" applyFill="1" applyBorder="1" applyAlignment="1">
      <alignment vertical="center" shrinkToFit="1"/>
    </xf>
    <xf numFmtId="0" fontId="75"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2" applyFont="1" applyFill="1" applyBorder="1" applyAlignment="1">
      <alignment vertical="center" shrinkToFit="1"/>
    </xf>
    <xf numFmtId="0" fontId="66" fillId="3" borderId="48" xfId="0" applyFont="1" applyFill="1" applyBorder="1" applyAlignment="1">
      <alignment horizontal="left" vertical="center"/>
    </xf>
    <xf numFmtId="0" fontId="4" fillId="13" borderId="9" xfId="0" applyFont="1" applyFill="1" applyBorder="1" applyAlignment="1">
      <alignment vertical="center" wrapText="1"/>
    </xf>
    <xf numFmtId="0" fontId="76" fillId="13" borderId="0" xfId="0" applyFont="1" applyFill="1" applyAlignment="1">
      <alignment vertical="center" wrapText="1"/>
    </xf>
    <xf numFmtId="0" fontId="4" fillId="0" borderId="48" xfId="0" applyFont="1" applyBorder="1" applyAlignment="1">
      <alignment vertical="center" wrapText="1"/>
    </xf>
    <xf numFmtId="0" fontId="4" fillId="15" borderId="48" xfId="0" applyFont="1" applyFill="1" applyBorder="1" applyAlignment="1">
      <alignment vertical="center" wrapText="1"/>
    </xf>
    <xf numFmtId="0" fontId="66" fillId="0" borderId="48" xfId="0" applyFont="1" applyBorder="1">
      <alignment vertical="center"/>
    </xf>
    <xf numFmtId="0" fontId="8" fillId="0" borderId="117" xfId="0" applyFont="1" applyBorder="1" applyAlignment="1">
      <alignment vertical="top" wrapText="1"/>
    </xf>
    <xf numFmtId="0" fontId="8" fillId="0" borderId="11" xfId="0" applyFont="1" applyBorder="1" applyAlignment="1">
      <alignment vertical="top" wrapText="1"/>
    </xf>
    <xf numFmtId="0" fontId="8" fillId="0" borderId="3" xfId="0" applyFont="1" applyBorder="1" applyAlignment="1">
      <alignment vertical="top"/>
    </xf>
    <xf numFmtId="0" fontId="8" fillId="0" borderId="12" xfId="0" applyFont="1" applyBorder="1">
      <alignment vertical="center"/>
    </xf>
    <xf numFmtId="0" fontId="8" fillId="0" borderId="12" xfId="0" applyFont="1" applyBorder="1" applyAlignment="1">
      <alignment vertical="top"/>
    </xf>
    <xf numFmtId="0" fontId="93" fillId="23" borderId="49" xfId="0" applyFont="1" applyFill="1" applyBorder="1" applyAlignment="1">
      <alignment horizontal="center" vertical="center"/>
    </xf>
    <xf numFmtId="192" fontId="93" fillId="23" borderId="49" xfId="0" applyNumberFormat="1" applyFont="1" applyFill="1" applyBorder="1" applyAlignment="1">
      <alignment horizontal="center" vertical="center" wrapText="1"/>
    </xf>
    <xf numFmtId="0" fontId="90" fillId="23" borderId="0" xfId="0" applyFont="1" applyFill="1">
      <alignment vertical="center"/>
    </xf>
    <xf numFmtId="0" fontId="8" fillId="23" borderId="9" xfId="0" applyFont="1" applyFill="1" applyBorder="1">
      <alignment vertical="center"/>
    </xf>
    <xf numFmtId="0" fontId="8" fillId="23" borderId="6" xfId="0" applyFont="1" applyFill="1" applyBorder="1">
      <alignment vertical="center"/>
    </xf>
    <xf numFmtId="0" fontId="8" fillId="23" borderId="50" xfId="0" applyFont="1" applyFill="1" applyBorder="1">
      <alignment vertical="center"/>
    </xf>
    <xf numFmtId="0" fontId="8" fillId="23" borderId="11" xfId="0" applyFont="1" applyFill="1" applyBorder="1">
      <alignment vertical="center"/>
    </xf>
    <xf numFmtId="0" fontId="8" fillId="23" borderId="0" xfId="0" applyFont="1" applyFill="1">
      <alignment vertical="center"/>
    </xf>
    <xf numFmtId="0" fontId="8" fillId="23" borderId="8" xfId="0" applyFont="1" applyFill="1" applyBorder="1">
      <alignment vertical="center"/>
    </xf>
    <xf numFmtId="0" fontId="8" fillId="23" borderId="5" xfId="0" applyFont="1" applyFill="1" applyBorder="1">
      <alignment vertical="center"/>
    </xf>
    <xf numFmtId="0" fontId="8" fillId="23" borderId="12" xfId="0" applyFont="1" applyFill="1" applyBorder="1">
      <alignment vertical="center"/>
    </xf>
    <xf numFmtId="0" fontId="8" fillId="23" borderId="13" xfId="0" applyFont="1" applyFill="1" applyBorder="1">
      <alignment vertical="center"/>
    </xf>
    <xf numFmtId="0" fontId="38" fillId="23" borderId="46" xfId="6" applyFont="1" applyFill="1" applyBorder="1" applyAlignment="1">
      <alignment horizontal="center" vertical="center" wrapText="1" shrinkToFit="1"/>
    </xf>
    <xf numFmtId="0" fontId="38" fillId="23" borderId="46" xfId="6" applyFont="1" applyFill="1" applyBorder="1" applyAlignment="1">
      <alignment vertical="center" wrapText="1" shrinkToFit="1"/>
    </xf>
    <xf numFmtId="0" fontId="38" fillId="23" borderId="46" xfId="6" applyFont="1" applyFill="1" applyBorder="1" applyAlignment="1">
      <alignment horizontal="center" vertical="center"/>
    </xf>
    <xf numFmtId="0" fontId="38" fillId="23" borderId="118" xfId="6" applyFont="1" applyFill="1" applyBorder="1">
      <alignment vertical="center"/>
    </xf>
    <xf numFmtId="0" fontId="38" fillId="23" borderId="48" xfId="6" applyFont="1" applyFill="1" applyBorder="1">
      <alignment vertical="center"/>
    </xf>
    <xf numFmtId="0" fontId="9" fillId="0" borderId="51" xfId="6" applyFont="1" applyBorder="1" applyAlignment="1">
      <alignment vertical="top"/>
    </xf>
    <xf numFmtId="0" fontId="9" fillId="0" borderId="9" xfId="6" applyFont="1" applyBorder="1" applyAlignment="1">
      <alignment vertical="top"/>
    </xf>
    <xf numFmtId="0" fontId="9" fillId="0" borderId="6" xfId="6" applyFont="1" applyBorder="1" applyAlignment="1">
      <alignment vertical="top"/>
    </xf>
    <xf numFmtId="0" fontId="9" fillId="0" borderId="50" xfId="6" applyFont="1" applyBorder="1" applyAlignment="1">
      <alignment vertical="top"/>
    </xf>
    <xf numFmtId="0" fontId="9" fillId="0" borderId="48" xfId="0" applyFont="1" applyBorder="1">
      <alignment vertical="center"/>
    </xf>
    <xf numFmtId="0" fontId="9" fillId="0" borderId="49" xfId="0" applyFont="1" applyBorder="1">
      <alignment vertical="center"/>
    </xf>
    <xf numFmtId="0" fontId="108" fillId="23" borderId="51" xfId="13" applyFont="1" applyFill="1" applyBorder="1" applyAlignment="1">
      <alignment horizontal="left" vertical="center" wrapText="1"/>
    </xf>
    <xf numFmtId="199" fontId="107" fillId="23" borderId="9" xfId="13" applyNumberFormat="1" applyFont="1" applyFill="1" applyBorder="1" applyAlignment="1">
      <alignment horizontal="center" vertical="center"/>
    </xf>
    <xf numFmtId="202" fontId="107" fillId="23" borderId="6" xfId="2" applyNumberFormat="1" applyFont="1" applyFill="1" applyBorder="1" applyAlignment="1">
      <alignment horizontal="right" vertical="center" shrinkToFit="1"/>
    </xf>
    <xf numFmtId="202" fontId="107" fillId="23" borderId="9" xfId="2" applyNumberFormat="1" applyFont="1" applyFill="1" applyBorder="1" applyAlignment="1">
      <alignment horizontal="right" vertical="center" shrinkToFit="1"/>
    </xf>
    <xf numFmtId="201" fontId="107" fillId="23" borderId="137" xfId="13" applyNumberFormat="1" applyFont="1" applyFill="1" applyBorder="1" applyAlignment="1">
      <alignment horizontal="center" vertical="center" shrinkToFit="1"/>
    </xf>
    <xf numFmtId="38" fontId="107" fillId="23" borderId="9" xfId="2" applyFont="1" applyFill="1" applyBorder="1" applyAlignment="1">
      <alignment horizontal="left" vertical="center" shrinkToFit="1"/>
    </xf>
    <xf numFmtId="0" fontId="108" fillId="23" borderId="9" xfId="13" applyFont="1" applyFill="1" applyBorder="1" applyAlignment="1">
      <alignment vertical="center" wrapText="1"/>
    </xf>
    <xf numFmtId="38" fontId="107" fillId="23" borderId="169" xfId="2" applyFont="1" applyFill="1" applyBorder="1" applyAlignment="1">
      <alignment horizontal="left" vertical="center" shrinkToFit="1"/>
    </xf>
    <xf numFmtId="201" fontId="107" fillId="23" borderId="138" xfId="13" applyNumberFormat="1" applyFont="1" applyFill="1" applyBorder="1" applyAlignment="1">
      <alignment horizontal="center" vertical="center" shrinkToFit="1"/>
    </xf>
    <xf numFmtId="0" fontId="108" fillId="23" borderId="139" xfId="13" applyFont="1" applyFill="1" applyBorder="1" applyAlignment="1">
      <alignment vertical="center" wrapText="1"/>
    </xf>
    <xf numFmtId="0" fontId="102" fillId="23" borderId="0" xfId="0" applyFont="1" applyFill="1" applyAlignment="1">
      <alignment horizontal="right" vertical="center"/>
    </xf>
    <xf numFmtId="38" fontId="6" fillId="23" borderId="48" xfId="2" applyFont="1" applyFill="1" applyBorder="1" applyAlignment="1">
      <alignment vertical="center"/>
    </xf>
    <xf numFmtId="38" fontId="107" fillId="23" borderId="51" xfId="2" applyFont="1" applyFill="1" applyBorder="1" applyAlignment="1">
      <alignment vertical="center"/>
    </xf>
    <xf numFmtId="0" fontId="6" fillId="23" borderId="46" xfId="0" applyFont="1" applyFill="1" applyBorder="1" applyAlignment="1">
      <alignment horizontal="center"/>
    </xf>
    <xf numFmtId="0" fontId="13" fillId="23" borderId="77" xfId="6" applyFont="1" applyFill="1" applyBorder="1" applyAlignment="1">
      <alignment vertical="center" wrapText="1"/>
    </xf>
    <xf numFmtId="0" fontId="13" fillId="23" borderId="44" xfId="6" applyFont="1" applyFill="1" applyBorder="1" applyAlignment="1">
      <alignment vertical="center" wrapText="1"/>
    </xf>
    <xf numFmtId="0" fontId="13" fillId="23" borderId="201" xfId="6" applyFont="1" applyFill="1" applyBorder="1" applyAlignment="1">
      <alignment vertical="center" wrapText="1"/>
    </xf>
    <xf numFmtId="0" fontId="6" fillId="23" borderId="77" xfId="6" applyFont="1" applyFill="1" applyBorder="1" applyAlignment="1">
      <alignment horizontal="center" vertical="center" wrapText="1"/>
    </xf>
    <xf numFmtId="0" fontId="6" fillId="23" borderId="44" xfId="6" applyFont="1" applyFill="1" applyBorder="1" applyAlignment="1">
      <alignment horizontal="center" vertical="center" wrapText="1"/>
    </xf>
    <xf numFmtId="0" fontId="6" fillId="23" borderId="201" xfId="6" applyFont="1" applyFill="1" applyBorder="1" applyAlignment="1">
      <alignment horizontal="center" vertical="center" wrapText="1"/>
    </xf>
    <xf numFmtId="206" fontId="6" fillId="23" borderId="77" xfId="6" applyNumberFormat="1" applyFont="1" applyFill="1" applyBorder="1" applyAlignment="1">
      <alignment horizontal="center" vertical="center" wrapText="1"/>
    </xf>
    <xf numFmtId="207" fontId="6" fillId="23" borderId="77" xfId="6" applyNumberFormat="1" applyFont="1" applyFill="1" applyBorder="1" applyAlignment="1">
      <alignment horizontal="center" vertical="center" shrinkToFit="1"/>
    </xf>
    <xf numFmtId="208" fontId="6" fillId="23" borderId="77" xfId="6" applyNumberFormat="1" applyFont="1" applyFill="1" applyBorder="1" applyAlignment="1">
      <alignment horizontal="center" vertical="center" shrinkToFit="1"/>
    </xf>
    <xf numFmtId="209" fontId="6" fillId="23" borderId="77" xfId="6" applyNumberFormat="1" applyFont="1" applyFill="1" applyBorder="1" applyAlignment="1">
      <alignment horizontal="center" vertical="center" shrinkToFit="1"/>
    </xf>
    <xf numFmtId="206" fontId="6" fillId="23" borderId="44" xfId="6" applyNumberFormat="1" applyFont="1" applyFill="1" applyBorder="1" applyAlignment="1">
      <alignment horizontal="center" vertical="center" wrapText="1"/>
    </xf>
    <xf numFmtId="207" fontId="6" fillId="23" borderId="44" xfId="6" applyNumberFormat="1" applyFont="1" applyFill="1" applyBorder="1" applyAlignment="1">
      <alignment horizontal="center" vertical="center" shrinkToFit="1"/>
    </xf>
    <xf numFmtId="208" fontId="6" fillId="23" borderId="44" xfId="6" applyNumberFormat="1" applyFont="1" applyFill="1" applyBorder="1" applyAlignment="1">
      <alignment horizontal="center" vertical="center" shrinkToFit="1"/>
    </xf>
    <xf numFmtId="209" fontId="6" fillId="23" borderId="44" xfId="6" applyNumberFormat="1" applyFont="1" applyFill="1" applyBorder="1" applyAlignment="1">
      <alignment horizontal="center" vertical="center" shrinkToFit="1"/>
    </xf>
    <xf numFmtId="207" fontId="6" fillId="23" borderId="201" xfId="6" applyNumberFormat="1" applyFont="1" applyFill="1" applyBorder="1" applyAlignment="1">
      <alignment horizontal="center" vertical="center" shrinkToFit="1"/>
    </xf>
    <xf numFmtId="209" fontId="6" fillId="23" borderId="201" xfId="6" applyNumberFormat="1" applyFont="1" applyFill="1" applyBorder="1" applyAlignment="1">
      <alignment horizontal="center" vertical="center" shrinkToFit="1"/>
    </xf>
    <xf numFmtId="206" fontId="6" fillId="23" borderId="201" xfId="6" applyNumberFormat="1" applyFont="1" applyFill="1" applyBorder="1" applyAlignment="1">
      <alignment horizontal="center" vertical="center" wrapText="1"/>
    </xf>
    <xf numFmtId="0" fontId="9" fillId="23" borderId="0" xfId="0" applyFont="1" applyFill="1">
      <alignment vertical="center"/>
    </xf>
    <xf numFmtId="0" fontId="72" fillId="0" borderId="47" xfId="0" applyFont="1" applyBorder="1">
      <alignment vertical="center"/>
    </xf>
    <xf numFmtId="0" fontId="4" fillId="15" borderId="49" xfId="0" applyFont="1" applyFill="1" applyBorder="1" applyAlignment="1">
      <alignment vertical="center" wrapText="1"/>
    </xf>
    <xf numFmtId="0" fontId="24" fillId="0" borderId="0" xfId="0" applyFont="1" applyAlignment="1">
      <alignment horizontal="left"/>
    </xf>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11" fillId="0" borderId="47" xfId="0" applyFont="1" applyBorder="1" applyAlignment="1">
      <alignment horizontal="left" vertical="center"/>
    </xf>
    <xf numFmtId="0" fontId="11" fillId="0" borderId="49" xfId="0" applyFont="1" applyBorder="1" applyAlignment="1">
      <alignment horizontal="left" vertical="center" wrapText="1"/>
    </xf>
    <xf numFmtId="0" fontId="15" fillId="12" borderId="249" xfId="0" applyFont="1" applyFill="1" applyBorder="1" applyAlignment="1">
      <alignment horizontal="left" vertical="center" shrinkToFit="1"/>
    </xf>
    <xf numFmtId="0" fontId="158" fillId="10" borderId="102" xfId="14" applyFont="1" applyFill="1" applyBorder="1" applyAlignment="1">
      <alignment vertical="center"/>
    </xf>
    <xf numFmtId="0" fontId="158" fillId="10" borderId="103" xfId="14" applyFont="1" applyFill="1" applyBorder="1" applyAlignment="1">
      <alignment vertical="center"/>
    </xf>
    <xf numFmtId="0" fontId="160" fillId="0" borderId="0" xfId="0" applyFont="1">
      <alignment vertical="center"/>
    </xf>
    <xf numFmtId="0" fontId="11" fillId="2" borderId="48" xfId="0" applyFont="1" applyFill="1" applyBorder="1" applyAlignment="1">
      <alignment horizontal="left" vertical="center" wrapText="1"/>
    </xf>
    <xf numFmtId="0" fontId="161" fillId="25" borderId="0" xfId="0" applyFont="1" applyFill="1">
      <alignment vertical="center"/>
    </xf>
    <xf numFmtId="0" fontId="109" fillId="25" borderId="0" xfId="0" applyFont="1" applyFill="1">
      <alignment vertical="center"/>
    </xf>
    <xf numFmtId="0" fontId="162" fillId="7" borderId="21" xfId="0" applyFont="1" applyFill="1" applyBorder="1">
      <alignment vertical="center"/>
    </xf>
    <xf numFmtId="0" fontId="162" fillId="7" borderId="48" xfId="0" applyFont="1" applyFill="1" applyBorder="1">
      <alignment vertical="center"/>
    </xf>
    <xf numFmtId="0" fontId="162" fillId="7" borderId="12" xfId="0" applyFont="1" applyFill="1" applyBorder="1">
      <alignment vertical="center"/>
    </xf>
    <xf numFmtId="0" fontId="8" fillId="23" borderId="255" xfId="0" applyFont="1" applyFill="1" applyBorder="1" applyAlignment="1">
      <alignment horizontal="center" vertical="center"/>
    </xf>
    <xf numFmtId="0" fontId="8" fillId="23" borderId="256" xfId="0" applyFont="1" applyFill="1" applyBorder="1" applyAlignment="1">
      <alignment horizontal="center" vertical="center"/>
    </xf>
    <xf numFmtId="0" fontId="87" fillId="7" borderId="65" xfId="0" applyFont="1" applyFill="1" applyBorder="1" applyAlignment="1">
      <alignment vertical="center" shrinkToFit="1"/>
    </xf>
    <xf numFmtId="0" fontId="87" fillId="7" borderId="46" xfId="0" applyFont="1" applyFill="1" applyBorder="1" applyAlignment="1">
      <alignment vertical="center" shrinkToFit="1"/>
    </xf>
    <xf numFmtId="0" fontId="87" fillId="7" borderId="46" xfId="0" applyFont="1" applyFill="1" applyBorder="1" applyAlignment="1">
      <alignment horizontal="center" vertical="center" shrinkToFit="1"/>
    </xf>
    <xf numFmtId="38" fontId="87" fillId="7" borderId="46" xfId="2" applyFont="1" applyFill="1" applyBorder="1" applyAlignment="1" applyProtection="1">
      <alignment vertical="center" shrinkToFit="1"/>
    </xf>
    <xf numFmtId="0" fontId="87" fillId="7" borderId="47" xfId="0" applyFont="1" applyFill="1" applyBorder="1" applyAlignment="1">
      <alignment horizontal="left" vertical="center" shrinkToFit="1"/>
    </xf>
    <xf numFmtId="0" fontId="87" fillId="23" borderId="46" xfId="0" applyFont="1" applyFill="1" applyBorder="1" applyAlignment="1">
      <alignment horizontal="center" vertical="center" shrinkToFit="1"/>
    </xf>
    <xf numFmtId="0" fontId="87" fillId="7" borderId="47" xfId="0" applyFont="1" applyFill="1" applyBorder="1" applyAlignment="1">
      <alignment horizontal="center" vertical="center" shrinkToFit="1"/>
    </xf>
    <xf numFmtId="0" fontId="87" fillId="23" borderId="66" xfId="0" applyFont="1" applyFill="1" applyBorder="1" applyAlignment="1">
      <alignment horizontal="center" vertical="center" shrinkToFit="1"/>
    </xf>
    <xf numFmtId="0" fontId="9" fillId="10" borderId="5" xfId="0" applyFont="1" applyFill="1" applyBorder="1" applyAlignment="1">
      <alignment horizontal="right" vertical="center" shrinkToFit="1"/>
    </xf>
    <xf numFmtId="0" fontId="9" fillId="10" borderId="12" xfId="0" applyFont="1" applyFill="1" applyBorder="1" applyAlignment="1">
      <alignment horizontal="center" vertical="center" shrinkToFit="1"/>
    </xf>
    <xf numFmtId="0" fontId="9" fillId="10" borderId="13" xfId="0" applyFont="1" applyFill="1" applyBorder="1" applyAlignment="1">
      <alignment horizontal="left" vertical="center" shrinkToFit="1"/>
    </xf>
    <xf numFmtId="178" fontId="81" fillId="10" borderId="9" xfId="2" applyNumberFormat="1" applyFont="1" applyFill="1" applyBorder="1" applyAlignment="1">
      <alignment vertical="center" shrinkToFit="1"/>
    </xf>
    <xf numFmtId="0" fontId="81" fillId="10" borderId="6" xfId="0" applyFont="1" applyFill="1" applyBorder="1" applyAlignment="1">
      <alignment vertical="center" shrinkToFit="1"/>
    </xf>
    <xf numFmtId="0" fontId="81" fillId="10" borderId="50" xfId="0" applyFont="1" applyFill="1" applyBorder="1" applyAlignment="1">
      <alignment vertical="center" shrinkToFit="1"/>
    </xf>
    <xf numFmtId="184" fontId="81" fillId="10" borderId="25" xfId="2" applyNumberFormat="1" applyFont="1" applyFill="1" applyBorder="1" applyAlignment="1">
      <alignment horizontal="right" vertical="center" shrinkToFit="1"/>
    </xf>
    <xf numFmtId="179" fontId="81" fillId="10" borderId="24" xfId="2" applyNumberFormat="1" applyFont="1" applyFill="1" applyBorder="1" applyAlignment="1">
      <alignment horizontal="right" vertical="center" shrinkToFit="1"/>
    </xf>
    <xf numFmtId="178" fontId="81" fillId="10" borderId="16" xfId="2" applyNumberFormat="1" applyFont="1" applyFill="1" applyBorder="1" applyAlignment="1">
      <alignment vertical="center" shrinkToFit="1"/>
    </xf>
    <xf numFmtId="179" fontId="81" fillId="10" borderId="23" xfId="2" applyNumberFormat="1" applyFont="1" applyFill="1" applyBorder="1" applyAlignment="1">
      <alignment vertical="center" shrinkToFit="1"/>
    </xf>
    <xf numFmtId="187" fontId="81" fillId="10" borderId="26" xfId="0" applyNumberFormat="1" applyFont="1" applyFill="1" applyBorder="1" applyAlignment="1">
      <alignment horizontal="right" vertical="center" shrinkToFit="1"/>
    </xf>
    <xf numFmtId="0" fontId="28" fillId="10" borderId="11" xfId="0" applyFont="1" applyFill="1" applyBorder="1" applyAlignment="1">
      <alignment horizontal="center" vertical="center"/>
    </xf>
    <xf numFmtId="0" fontId="23" fillId="10" borderId="101" xfId="0" applyFont="1" applyFill="1" applyBorder="1" applyAlignment="1">
      <alignment horizontal="center" vertical="top"/>
    </xf>
    <xf numFmtId="0" fontId="89" fillId="10" borderId="44" xfId="0" applyFont="1" applyFill="1" applyBorder="1" applyAlignment="1">
      <alignment horizontal="left" vertical="center" shrinkToFit="1"/>
    </xf>
    <xf numFmtId="0" fontId="33" fillId="10" borderId="11" xfId="0" applyFont="1" applyFill="1" applyBorder="1" applyAlignment="1">
      <alignment horizontal="center" vertical="center"/>
    </xf>
    <xf numFmtId="0" fontId="70" fillId="10" borderId="11" xfId="15" applyFont="1" applyFill="1" applyBorder="1" applyAlignment="1" applyProtection="1">
      <alignment horizontal="center" vertical="center"/>
      <protection locked="0"/>
    </xf>
    <xf numFmtId="0" fontId="32" fillId="10" borderId="50" xfId="15" applyFont="1" applyFill="1" applyBorder="1" applyAlignment="1" applyProtection="1">
      <alignment horizontal="center" vertical="center"/>
      <protection locked="0"/>
    </xf>
    <xf numFmtId="0" fontId="32" fillId="10" borderId="51" xfId="15" applyFont="1" applyFill="1" applyBorder="1" applyAlignment="1" applyProtection="1">
      <alignment horizontal="center" vertical="center" wrapText="1"/>
      <protection locked="0"/>
    </xf>
    <xf numFmtId="0" fontId="70" fillId="10" borderId="44" xfId="0" applyFont="1" applyFill="1" applyBorder="1">
      <alignment vertical="center"/>
    </xf>
    <xf numFmtId="0" fontId="90" fillId="10" borderId="77" xfId="0" applyFont="1" applyFill="1" applyBorder="1" applyAlignment="1">
      <alignment vertical="center" shrinkToFit="1"/>
    </xf>
    <xf numFmtId="0" fontId="32" fillId="10" borderId="44" xfId="0" applyFont="1" applyFill="1" applyBorder="1">
      <alignment vertical="center"/>
    </xf>
    <xf numFmtId="0" fontId="91" fillId="10" borderId="44" xfId="15" applyFont="1" applyFill="1" applyBorder="1" applyAlignment="1" applyProtection="1">
      <alignment vertical="center" wrapText="1"/>
      <protection locked="0"/>
    </xf>
    <xf numFmtId="0" fontId="90" fillId="10" borderId="44" xfId="0" applyFont="1" applyFill="1" applyBorder="1" applyAlignment="1">
      <alignment vertical="center" shrinkToFit="1"/>
    </xf>
    <xf numFmtId="0" fontId="164" fillId="0" borderId="0" xfId="15" applyFont="1" applyAlignment="1" applyProtection="1">
      <alignment horizontal="right" vertical="top" wrapText="1"/>
      <protection locked="0"/>
    </xf>
    <xf numFmtId="3" fontId="98" fillId="7" borderId="0" xfId="0" applyNumberFormat="1" applyFont="1" applyFill="1" applyAlignment="1">
      <alignment vertical="center" shrinkToFit="1"/>
    </xf>
    <xf numFmtId="0" fontId="167" fillId="3" borderId="0" xfId="25" applyFill="1">
      <alignment vertical="center"/>
    </xf>
    <xf numFmtId="0" fontId="168" fillId="3" borderId="0" xfId="25" applyFont="1" applyFill="1">
      <alignment vertical="center"/>
    </xf>
    <xf numFmtId="0" fontId="169" fillId="3" borderId="0" xfId="25" applyFont="1" applyFill="1">
      <alignment vertical="center"/>
    </xf>
    <xf numFmtId="0" fontId="171" fillId="3" borderId="0" xfId="25" applyFont="1" applyFill="1" applyAlignment="1">
      <alignment horizontal="right" vertical="center"/>
    </xf>
    <xf numFmtId="0" fontId="172" fillId="3" borderId="0" xfId="25" applyFont="1" applyFill="1">
      <alignment vertical="center"/>
    </xf>
    <xf numFmtId="0" fontId="167" fillId="3" borderId="0" xfId="25" applyFill="1" applyAlignment="1">
      <alignment horizontal="right" vertical="center"/>
    </xf>
    <xf numFmtId="0" fontId="172" fillId="3" borderId="0" xfId="25" applyFont="1" applyFill="1" applyAlignment="1">
      <alignment horizontal="right" vertical="center"/>
    </xf>
    <xf numFmtId="0" fontId="167" fillId="3" borderId="0" xfId="25" applyFill="1" applyAlignment="1">
      <alignment horizontal="left" vertical="center"/>
    </xf>
    <xf numFmtId="0" fontId="174" fillId="3" borderId="0" xfId="25" applyFont="1" applyFill="1">
      <alignment vertical="center"/>
    </xf>
    <xf numFmtId="0" fontId="175" fillId="3" borderId="0" xfId="25" applyFont="1" applyFill="1">
      <alignment vertical="center"/>
    </xf>
    <xf numFmtId="0" fontId="174" fillId="3" borderId="99" xfId="25" applyFont="1" applyFill="1" applyBorder="1" applyAlignment="1">
      <alignment vertical="center" shrinkToFit="1"/>
    </xf>
    <xf numFmtId="0" fontId="167" fillId="3" borderId="103" xfId="25" applyFill="1" applyBorder="1">
      <alignment vertical="center"/>
    </xf>
    <xf numFmtId="0" fontId="177" fillId="3" borderId="0" xfId="25" applyFont="1" applyFill="1" applyAlignment="1">
      <alignment horizontal="center" vertical="center"/>
    </xf>
    <xf numFmtId="0" fontId="174" fillId="3" borderId="103" xfId="25" applyFont="1" applyFill="1" applyBorder="1">
      <alignment vertical="center"/>
    </xf>
    <xf numFmtId="0" fontId="167" fillId="3" borderId="99" xfId="25" applyFill="1" applyBorder="1" applyAlignment="1">
      <alignment horizontal="center" vertical="center" shrinkToFit="1"/>
    </xf>
    <xf numFmtId="0" fontId="174" fillId="3" borderId="200" xfId="25" applyFont="1" applyFill="1" applyBorder="1">
      <alignment vertical="center"/>
    </xf>
    <xf numFmtId="0" fontId="171" fillId="3" borderId="265" xfId="25" applyFont="1" applyFill="1" applyBorder="1" applyAlignment="1">
      <alignment horizontal="center" vertical="center"/>
    </xf>
    <xf numFmtId="0" fontId="167" fillId="3" borderId="266" xfId="25" applyFill="1" applyBorder="1" applyAlignment="1">
      <alignment vertical="center" shrinkToFit="1"/>
    </xf>
    <xf numFmtId="0" fontId="174" fillId="3" borderId="0" xfId="25" applyFont="1" applyFill="1" applyAlignment="1">
      <alignment vertical="center" shrinkToFit="1"/>
    </xf>
    <xf numFmtId="0" fontId="178" fillId="3" borderId="0" xfId="25" applyFont="1" applyFill="1" applyAlignment="1">
      <alignment horizontal="center" vertical="center"/>
    </xf>
    <xf numFmtId="0" fontId="167" fillId="3" borderId="0" xfId="25" applyFill="1" applyAlignment="1">
      <alignment vertical="center" shrinkToFit="1"/>
    </xf>
    <xf numFmtId="0" fontId="174" fillId="3" borderId="199" xfId="25" applyFont="1" applyFill="1" applyBorder="1">
      <alignment vertical="center"/>
    </xf>
    <xf numFmtId="0" fontId="174" fillId="3" borderId="171" xfId="25" applyFont="1" applyFill="1" applyBorder="1" applyAlignment="1">
      <alignment vertical="center" shrinkToFit="1"/>
    </xf>
    <xf numFmtId="0" fontId="167" fillId="3" borderId="0" xfId="25" applyFill="1" applyAlignment="1">
      <alignment horizontal="center" vertical="center" shrinkToFit="1"/>
    </xf>
    <xf numFmtId="0" fontId="179" fillId="3" borderId="0" xfId="25" applyFont="1" applyFill="1" applyAlignment="1">
      <alignment horizontal="left" vertical="center"/>
    </xf>
    <xf numFmtId="0" fontId="180" fillId="3" borderId="0" xfId="25" applyFont="1" applyFill="1" applyAlignment="1">
      <alignment vertical="center" wrapText="1" shrinkToFit="1"/>
    </xf>
    <xf numFmtId="0" fontId="180" fillId="3" borderId="0" xfId="25" applyFont="1" applyFill="1" applyAlignment="1">
      <alignment vertical="center" shrinkToFit="1"/>
    </xf>
    <xf numFmtId="0" fontId="181" fillId="3" borderId="0" xfId="25" applyFont="1" applyFill="1" applyAlignment="1">
      <alignment horizontal="left" vertical="center"/>
    </xf>
    <xf numFmtId="0" fontId="167" fillId="3" borderId="177" xfId="25" applyFill="1" applyBorder="1" applyAlignment="1">
      <alignment horizontal="center" vertical="center" shrinkToFit="1"/>
    </xf>
    <xf numFmtId="0" fontId="180" fillId="3" borderId="0" xfId="25" applyFont="1" applyFill="1" applyAlignment="1">
      <alignment vertical="center" wrapText="1"/>
    </xf>
    <xf numFmtId="0" fontId="167" fillId="3" borderId="0" xfId="25" applyFill="1" applyAlignment="1">
      <alignment vertical="center" wrapText="1"/>
    </xf>
    <xf numFmtId="0" fontId="176" fillId="23" borderId="257" xfId="25" applyFont="1" applyFill="1" applyBorder="1" applyAlignment="1">
      <alignment horizontal="center" vertical="center" wrapText="1" shrinkToFit="1"/>
    </xf>
    <xf numFmtId="0" fontId="178" fillId="23" borderId="261" xfId="25" applyFont="1" applyFill="1" applyBorder="1" applyAlignment="1">
      <alignment horizontal="center" vertical="center"/>
    </xf>
    <xf numFmtId="0" fontId="176" fillId="23" borderId="258" xfId="25" applyFont="1" applyFill="1" applyBorder="1" applyAlignment="1">
      <alignment horizontal="center" vertical="center" wrapText="1" shrinkToFit="1"/>
    </xf>
    <xf numFmtId="0" fontId="178" fillId="23" borderId="262" xfId="25" applyFont="1" applyFill="1" applyBorder="1" applyAlignment="1">
      <alignment horizontal="center" vertical="center"/>
    </xf>
    <xf numFmtId="0" fontId="178" fillId="23" borderId="269" xfId="25" applyFont="1" applyFill="1" applyBorder="1" applyAlignment="1">
      <alignment horizontal="center" vertical="center"/>
    </xf>
    <xf numFmtId="0" fontId="178" fillId="23" borderId="270" xfId="25" applyFont="1" applyFill="1" applyBorder="1" applyAlignment="1">
      <alignment horizontal="center" vertical="center"/>
    </xf>
    <xf numFmtId="0" fontId="178" fillId="0" borderId="0" xfId="25" applyFont="1" applyAlignment="1">
      <alignment horizontal="center" vertical="center"/>
    </xf>
    <xf numFmtId="0" fontId="2" fillId="3" borderId="0" xfId="25" applyFont="1" applyFill="1">
      <alignment vertical="center"/>
    </xf>
    <xf numFmtId="0" fontId="65" fillId="3" borderId="265" xfId="25" applyFont="1" applyFill="1" applyBorder="1" applyAlignment="1">
      <alignment horizontal="center" vertical="center"/>
    </xf>
    <xf numFmtId="0" fontId="2" fillId="3" borderId="266" xfId="25" applyFont="1" applyFill="1" applyBorder="1" applyAlignment="1">
      <alignment vertical="center" shrinkToFit="1"/>
    </xf>
    <xf numFmtId="0" fontId="2" fillId="3" borderId="200" xfId="25" applyFont="1" applyFill="1" applyBorder="1">
      <alignment vertical="center"/>
    </xf>
    <xf numFmtId="0" fontId="16" fillId="3" borderId="264" xfId="25" applyFont="1" applyFill="1" applyBorder="1" applyAlignment="1">
      <alignment horizontal="right" vertical="center" shrinkToFit="1"/>
    </xf>
    <xf numFmtId="0" fontId="167" fillId="3" borderId="12" xfId="25" applyFill="1" applyBorder="1" applyAlignment="1">
      <alignment horizontal="left" vertical="center"/>
    </xf>
    <xf numFmtId="0" fontId="167" fillId="3" borderId="12" xfId="25" applyFill="1" applyBorder="1" applyAlignment="1">
      <alignment vertical="center" shrinkToFit="1"/>
    </xf>
    <xf numFmtId="0" fontId="174" fillId="3" borderId="12" xfId="25" applyFont="1" applyFill="1" applyBorder="1">
      <alignment vertical="center"/>
    </xf>
    <xf numFmtId="0" fontId="151" fillId="0" borderId="0" xfId="0" applyFont="1">
      <alignment vertical="center"/>
    </xf>
    <xf numFmtId="0" fontId="185" fillId="25" borderId="0" xfId="0" applyFont="1" applyFill="1">
      <alignment vertical="center"/>
    </xf>
    <xf numFmtId="0" fontId="151" fillId="6" borderId="0" xfId="0" applyFont="1" applyFill="1">
      <alignment vertical="center"/>
    </xf>
    <xf numFmtId="0" fontId="186" fillId="0" borderId="0" xfId="0" applyFont="1" applyAlignment="1">
      <alignment vertical="center" wrapText="1"/>
    </xf>
    <xf numFmtId="0" fontId="151" fillId="2" borderId="46" xfId="0" applyFont="1" applyFill="1" applyBorder="1" applyAlignment="1">
      <alignment horizontal="center" vertical="center" shrinkToFit="1"/>
    </xf>
    <xf numFmtId="0" fontId="143" fillId="0" borderId="46" xfId="0" applyFont="1" applyBorder="1" applyAlignment="1">
      <alignment horizontal="center" vertical="center" wrapText="1"/>
    </xf>
    <xf numFmtId="0" fontId="143" fillId="0" borderId="51" xfId="0" applyFont="1" applyBorder="1" applyAlignment="1">
      <alignment horizontal="center" vertical="center" wrapText="1"/>
    </xf>
    <xf numFmtId="0" fontId="143" fillId="0" borderId="0" xfId="0" applyFont="1">
      <alignment vertical="center"/>
    </xf>
    <xf numFmtId="0" fontId="143" fillId="2" borderId="48" xfId="0" applyFont="1" applyFill="1" applyBorder="1" applyAlignment="1">
      <alignment horizontal="center" vertical="center"/>
    </xf>
    <xf numFmtId="0" fontId="143" fillId="0" borderId="46" xfId="0" applyFont="1" applyBorder="1" applyAlignment="1">
      <alignment horizontal="center" vertical="center"/>
    </xf>
    <xf numFmtId="0" fontId="143" fillId="0" borderId="85" xfId="0" applyFont="1" applyBorder="1" applyAlignment="1">
      <alignment horizontal="center" vertical="center"/>
    </xf>
    <xf numFmtId="0" fontId="6" fillId="0" borderId="0" xfId="0" applyFont="1" applyAlignment="1">
      <alignment vertical="center" shrinkToFit="1"/>
    </xf>
    <xf numFmtId="0" fontId="109" fillId="25" borderId="0" xfId="0" applyFont="1" applyFill="1" applyAlignment="1">
      <alignment vertical="center" shrinkToFit="1"/>
    </xf>
    <xf numFmtId="0" fontId="6" fillId="0" borderId="17" xfId="0" applyFont="1" applyBorder="1" applyAlignment="1">
      <alignment vertical="center" shrinkToFit="1"/>
    </xf>
    <xf numFmtId="0" fontId="6" fillId="6" borderId="0" xfId="0" applyFont="1" applyFill="1" applyAlignment="1">
      <alignment vertical="center" shrinkToFit="1"/>
    </xf>
    <xf numFmtId="0" fontId="13" fillId="0" borderId="0" xfId="0" applyFont="1" applyAlignment="1">
      <alignment vertical="center" shrinkToFit="1"/>
    </xf>
    <xf numFmtId="0" fontId="7" fillId="6" borderId="0" xfId="0" applyFont="1" applyFill="1" applyAlignment="1">
      <alignment vertical="center" shrinkToFit="1"/>
    </xf>
    <xf numFmtId="0" fontId="145" fillId="11" borderId="46" xfId="0" applyFont="1" applyFill="1" applyBorder="1" applyAlignment="1">
      <alignment horizontal="center" vertical="center" shrinkToFit="1"/>
    </xf>
    <xf numFmtId="0" fontId="147" fillId="0" borderId="46" xfId="19" applyFont="1" applyFill="1" applyBorder="1" applyAlignment="1">
      <alignment horizontal="left" vertical="center" shrinkToFit="1"/>
    </xf>
    <xf numFmtId="0" fontId="147" fillId="0" borderId="46" xfId="19" applyFont="1" applyBorder="1" applyAlignment="1">
      <alignment vertical="center" shrinkToFit="1"/>
    </xf>
    <xf numFmtId="0" fontId="147" fillId="0" borderId="1" xfId="19" applyFont="1" applyBorder="1" applyAlignment="1">
      <alignment vertical="center" shrinkToFit="1"/>
    </xf>
    <xf numFmtId="0" fontId="11" fillId="0" borderId="0" xfId="0" applyFont="1" applyAlignment="1">
      <alignment vertical="center" shrinkToFit="1"/>
    </xf>
    <xf numFmtId="0" fontId="147" fillId="0" borderId="51" xfId="19" applyFont="1" applyBorder="1" applyAlignment="1">
      <alignment vertical="center" shrinkToFit="1"/>
    </xf>
    <xf numFmtId="0" fontId="147" fillId="2" borderId="49" xfId="19" applyFont="1" applyFill="1" applyBorder="1" applyAlignment="1">
      <alignment vertical="center" shrinkToFit="1"/>
    </xf>
    <xf numFmtId="0" fontId="24" fillId="5" borderId="12" xfId="0" applyFont="1" applyFill="1" applyBorder="1" applyAlignment="1">
      <alignment horizontal="center" vertical="center"/>
    </xf>
    <xf numFmtId="0" fontId="8" fillId="5" borderId="48" xfId="0" applyFont="1" applyFill="1" applyBorder="1" applyAlignment="1">
      <alignment horizontal="center" vertical="center"/>
    </xf>
    <xf numFmtId="0" fontId="8" fillId="0" borderId="48" xfId="0" applyFont="1" applyBorder="1" applyAlignment="1">
      <alignment horizontal="center" vertical="center"/>
    </xf>
    <xf numFmtId="0" fontId="8" fillId="0" borderId="0" xfId="0" applyFont="1" applyFill="1">
      <alignment vertical="center"/>
    </xf>
    <xf numFmtId="0" fontId="134" fillId="0" borderId="0" xfId="0" applyFont="1" applyFill="1" applyAlignment="1">
      <alignment horizontal="center" vertical="center"/>
    </xf>
    <xf numFmtId="0" fontId="8"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horizontal="center" vertical="center"/>
    </xf>
    <xf numFmtId="0" fontId="23" fillId="0" borderId="0" xfId="0" applyFont="1" applyFill="1" applyAlignment="1">
      <alignment horizontal="left" vertical="center"/>
    </xf>
    <xf numFmtId="0" fontId="0" fillId="0" borderId="0" xfId="0" applyBorder="1">
      <alignment vertical="center"/>
    </xf>
    <xf numFmtId="0" fontId="9" fillId="0" borderId="0" xfId="0" applyFont="1" applyBorder="1">
      <alignment vertical="center"/>
    </xf>
    <xf numFmtId="0" fontId="18" fillId="0" borderId="0" xfId="0" applyFont="1" applyBorder="1" applyAlignment="1">
      <alignment horizontal="right" vertical="center"/>
    </xf>
    <xf numFmtId="0" fontId="16" fillId="0" borderId="0" xfId="0" applyFont="1" applyBorder="1">
      <alignment vertical="center"/>
    </xf>
    <xf numFmtId="0" fontId="8" fillId="0" borderId="0" xfId="0" applyFont="1" applyBorder="1">
      <alignment vertical="center"/>
    </xf>
    <xf numFmtId="0" fontId="147" fillId="3" borderId="3" xfId="19" applyFont="1" applyFill="1" applyBorder="1" applyAlignment="1">
      <alignment vertical="center" shrinkToFit="1"/>
    </xf>
    <xf numFmtId="0" fontId="25" fillId="7" borderId="46" xfId="0" applyFont="1" applyFill="1" applyBorder="1">
      <alignment vertical="center"/>
    </xf>
    <xf numFmtId="0" fontId="0" fillId="10" borderId="46" xfId="0" applyFill="1" applyBorder="1">
      <alignment vertical="center"/>
    </xf>
    <xf numFmtId="0" fontId="6" fillId="3" borderId="0" xfId="0" applyFont="1" applyFill="1">
      <alignment vertical="center"/>
    </xf>
    <xf numFmtId="0" fontId="5" fillId="2" borderId="47"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47" xfId="0" applyFont="1" applyBorder="1" applyAlignment="1">
      <alignment horizontal="left" vertical="center" shrinkToFit="1"/>
    </xf>
    <xf numFmtId="0" fontId="11" fillId="0" borderId="49" xfId="0" applyFont="1" applyBorder="1" applyAlignment="1">
      <alignment horizontal="left" vertical="center" shrinkToFit="1"/>
    </xf>
    <xf numFmtId="0" fontId="12" fillId="7" borderId="0" xfId="0" applyFont="1" applyFill="1" applyAlignment="1">
      <alignment vertical="center" wrapText="1"/>
    </xf>
    <xf numFmtId="0" fontId="12" fillId="5" borderId="0" xfId="0" applyFont="1" applyFill="1" applyAlignment="1">
      <alignment vertical="center" wrapText="1"/>
    </xf>
    <xf numFmtId="0" fontId="12" fillId="23" borderId="0" xfId="0" applyFont="1" applyFill="1" applyAlignment="1">
      <alignment horizontal="left" vertical="center" wrapTex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5" fillId="0" borderId="47" xfId="0" applyFont="1" applyBorder="1" applyAlignment="1">
      <alignment horizontal="left" vertical="center" wrapText="1"/>
    </xf>
    <xf numFmtId="0" fontId="5" fillId="0" borderId="49" xfId="0" applyFont="1" applyBorder="1" applyAlignment="1">
      <alignment horizontal="left" vertical="center" wrapText="1"/>
    </xf>
    <xf numFmtId="0" fontId="11" fillId="0" borderId="47" xfId="0" applyFont="1" applyBorder="1" applyAlignment="1">
      <alignment horizontal="center" vertical="center" shrinkToFit="1"/>
    </xf>
    <xf numFmtId="0" fontId="11" fillId="0" borderId="49" xfId="0" applyFont="1" applyBorder="1" applyAlignment="1">
      <alignment horizontal="center" vertical="center" shrinkToFit="1"/>
    </xf>
    <xf numFmtId="0" fontId="5" fillId="0" borderId="9" xfId="0" applyFont="1" applyBorder="1" applyAlignment="1">
      <alignment horizontal="left" vertical="center"/>
    </xf>
    <xf numFmtId="0" fontId="5" fillId="0" borderId="50" xfId="0" applyFont="1" applyBorder="1" applyAlignment="1">
      <alignment horizontal="left"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wrapText="1"/>
    </xf>
    <xf numFmtId="0" fontId="5" fillId="0" borderId="50"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13" fillId="0" borderId="0" xfId="0" applyFont="1" applyAlignment="1">
      <alignment horizontal="left" vertical="center" wrapText="1"/>
    </xf>
    <xf numFmtId="0" fontId="162" fillId="7" borderId="12" xfId="0" applyFont="1" applyFill="1" applyBorder="1">
      <alignment vertical="center"/>
    </xf>
    <xf numFmtId="0" fontId="162" fillId="7" borderId="29" xfId="0" applyFont="1" applyFill="1" applyBorder="1">
      <alignment vertical="center"/>
    </xf>
    <xf numFmtId="0" fontId="162" fillId="7" borderId="19" xfId="0" applyFont="1" applyFill="1" applyBorder="1">
      <alignment vertical="center"/>
    </xf>
    <xf numFmtId="0" fontId="162" fillId="7" borderId="20" xfId="0" applyFont="1" applyFill="1" applyBorder="1">
      <alignment vertical="center"/>
    </xf>
    <xf numFmtId="0" fontId="152" fillId="24" borderId="0" xfId="0" applyFont="1" applyFill="1" applyAlignment="1">
      <alignment vertical="center" wrapText="1"/>
    </xf>
    <xf numFmtId="0" fontId="144" fillId="24" borderId="0" xfId="0" applyFont="1" applyFill="1" applyAlignment="1">
      <alignment vertical="center" wrapText="1"/>
    </xf>
    <xf numFmtId="0" fontId="13" fillId="0" borderId="0" xfId="0" applyFont="1" applyAlignment="1">
      <alignment vertical="center" wrapText="1"/>
    </xf>
    <xf numFmtId="0" fontId="13" fillId="3" borderId="0" xfId="0" applyFont="1" applyFill="1" applyAlignment="1">
      <alignment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11" fillId="0" borderId="86" xfId="0" applyFont="1" applyBorder="1" applyAlignment="1">
      <alignment horizontal="center" vertical="center"/>
    </xf>
    <xf numFmtId="0" fontId="11" fillId="0" borderId="87"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5" fillId="2" borderId="48" xfId="0" applyFont="1" applyFill="1" applyBorder="1" applyAlignment="1">
      <alignment horizontal="center" vertical="center"/>
    </xf>
    <xf numFmtId="0" fontId="143" fillId="0" borderId="51" xfId="0" applyFont="1" applyBorder="1" applyAlignment="1">
      <alignment horizontal="center" vertical="center" wrapText="1"/>
    </xf>
    <xf numFmtId="0" fontId="143"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43" fillId="0" borderId="47" xfId="0" applyFont="1" applyBorder="1" applyAlignment="1">
      <alignment horizontal="left" vertical="center" wrapText="1" shrinkToFit="1"/>
    </xf>
    <xf numFmtId="0" fontId="143" fillId="0" borderId="49" xfId="0" applyFont="1" applyBorder="1" applyAlignment="1">
      <alignment horizontal="left" vertical="center" shrinkToFit="1"/>
    </xf>
    <xf numFmtId="0" fontId="143" fillId="0" borderId="51" xfId="0" applyFont="1" applyBorder="1" applyAlignment="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6" fillId="0" borderId="0" xfId="0" applyFont="1" applyAlignment="1">
      <alignment horizontal="left" vertical="center" wrapText="1"/>
    </xf>
    <xf numFmtId="204" fontId="8" fillId="0" borderId="0" xfId="14" applyNumberFormat="1" applyFont="1" applyAlignment="1">
      <alignment horizontal="right"/>
    </xf>
    <xf numFmtId="0" fontId="135"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8" fillId="0" borderId="0" xfId="0" applyFont="1" applyAlignment="1">
      <alignment horizontal="left" vertical="center" wrapText="1"/>
    </xf>
    <xf numFmtId="0" fontId="38" fillId="7" borderId="0" xfId="12" applyFont="1" applyFill="1" applyAlignment="1">
      <alignment horizontal="lef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23" borderId="47" xfId="12" applyFont="1" applyFill="1" applyBorder="1" applyAlignment="1">
      <alignment horizontal="center" vertical="center"/>
    </xf>
    <xf numFmtId="0" fontId="23" fillId="23" borderId="49" xfId="12" applyFont="1" applyFill="1" applyBorder="1" applyAlignment="1">
      <alignment horizontal="center" vertical="center"/>
    </xf>
    <xf numFmtId="0" fontId="23" fillId="0" borderId="46" xfId="12" applyFont="1" applyBorder="1" applyAlignment="1">
      <alignment vertical="top"/>
    </xf>
    <xf numFmtId="0" fontId="38" fillId="7" borderId="0" xfId="12" applyFont="1" applyFill="1" applyAlignment="1">
      <alignment vertical="center" wrapText="1"/>
    </xf>
    <xf numFmtId="0" fontId="38" fillId="7" borderId="0" xfId="12" applyFont="1" applyFill="1">
      <alignment vertical="center"/>
    </xf>
    <xf numFmtId="0" fontId="23" fillId="7" borderId="47" xfId="12" applyFont="1" applyFill="1" applyBorder="1" applyAlignment="1">
      <alignment horizontal="center" vertical="center"/>
    </xf>
    <xf numFmtId="0" fontId="23" fillId="7" borderId="49" xfId="12" applyFont="1" applyFill="1" applyBorder="1" applyAlignment="1">
      <alignment horizontal="center" vertical="center"/>
    </xf>
    <xf numFmtId="0" fontId="23" fillId="0" borderId="0" xfId="12" applyFont="1" applyAlignment="1">
      <alignment horizontal="center" vertical="center"/>
    </xf>
    <xf numFmtId="21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23" fillId="0" borderId="9" xfId="12" applyFont="1" applyBorder="1">
      <alignment vertical="center"/>
    </xf>
    <xf numFmtId="0" fontId="23" fillId="0" borderId="6" xfId="12" applyFont="1" applyBorder="1">
      <alignment vertical="center"/>
    </xf>
    <xf numFmtId="0" fontId="23" fillId="0" borderId="50" xfId="12" applyFont="1" applyBorder="1">
      <alignment vertical="center"/>
    </xf>
    <xf numFmtId="0" fontId="23" fillId="23" borderId="9" xfId="12" applyFont="1" applyFill="1" applyBorder="1" applyAlignment="1">
      <alignment horizontal="center" vertical="center"/>
    </xf>
    <xf numFmtId="0" fontId="23" fillId="23" borderId="50" xfId="12" applyFont="1" applyFill="1" applyBorder="1" applyAlignment="1">
      <alignment horizontal="center" vertical="center"/>
    </xf>
    <xf numFmtId="0" fontId="23" fillId="23" borderId="11" xfId="12" applyFont="1" applyFill="1" applyBorder="1" applyAlignment="1">
      <alignment horizontal="center" vertical="center"/>
    </xf>
    <xf numFmtId="0" fontId="23" fillId="23" borderId="8" xfId="12" applyFont="1" applyFill="1" applyBorder="1" applyAlignment="1">
      <alignment horizontal="center" vertical="center"/>
    </xf>
    <xf numFmtId="0" fontId="23" fillId="23" borderId="5" xfId="12" applyFont="1" applyFill="1" applyBorder="1" applyAlignment="1">
      <alignment horizontal="center" vertical="center"/>
    </xf>
    <xf numFmtId="0" fontId="23" fillId="23" borderId="13" xfId="12" applyFont="1" applyFill="1" applyBorder="1" applyAlignment="1">
      <alignment horizontal="center" vertical="center"/>
    </xf>
    <xf numFmtId="0" fontId="23" fillId="23" borderId="46" xfId="12" applyFont="1" applyFill="1" applyBorder="1" applyAlignment="1">
      <alignment horizontal="center" vertical="center"/>
    </xf>
    <xf numFmtId="0" fontId="26" fillId="0" borderId="46" xfId="12" applyFont="1" applyBorder="1" applyAlignment="1">
      <alignment vertical="center" wrapText="1"/>
    </xf>
    <xf numFmtId="0" fontId="44" fillId="2" borderId="46" xfId="0" applyFont="1" applyFill="1" applyBorder="1" applyAlignment="1">
      <alignment horizontal="center" vertical="center" wrapText="1"/>
    </xf>
    <xf numFmtId="179" fontId="156" fillId="5" borderId="24" xfId="0" applyNumberFormat="1" applyFont="1" applyFill="1" applyBorder="1" applyAlignment="1">
      <alignment horizontal="right" vertical="center" shrinkToFit="1"/>
    </xf>
    <xf numFmtId="179" fontId="156" fillId="5" borderId="23" xfId="0" applyNumberFormat="1" applyFont="1" applyFill="1" applyBorder="1" applyAlignment="1">
      <alignment horizontal="right" vertical="center" shrinkToFit="1"/>
    </xf>
    <xf numFmtId="184" fontId="88" fillId="5" borderId="9" xfId="2" applyNumberFormat="1" applyFont="1" applyFill="1" applyBorder="1" applyAlignment="1">
      <alignment horizontal="left" vertical="top" wrapText="1"/>
    </xf>
    <xf numFmtId="0" fontId="88" fillId="5" borderId="50" xfId="0" applyFont="1" applyFill="1" applyBorder="1" applyAlignment="1">
      <alignment horizontal="left" vertical="top" wrapText="1"/>
    </xf>
    <xf numFmtId="178" fontId="156" fillId="5" borderId="84" xfId="2" applyNumberFormat="1" applyFont="1" applyFill="1" applyBorder="1" applyAlignment="1">
      <alignment horizontal="right" vertical="center" shrinkToFit="1"/>
    </xf>
    <xf numFmtId="178" fontId="156" fillId="5" borderId="16" xfId="2" applyNumberFormat="1" applyFont="1" applyFill="1" applyBorder="1" applyAlignment="1">
      <alignment horizontal="right" vertical="center" shrinkToFit="1"/>
    </xf>
    <xf numFmtId="181" fontId="9" fillId="10" borderId="5" xfId="0" applyNumberFormat="1" applyFont="1" applyFill="1" applyBorder="1" applyAlignment="1">
      <alignment horizontal="center" vertical="center" shrinkToFit="1"/>
    </xf>
    <xf numFmtId="181" fontId="9" fillId="10" borderId="13" xfId="0" applyNumberFormat="1" applyFont="1" applyFill="1" applyBorder="1" applyAlignment="1">
      <alignment horizontal="center" vertical="center" shrinkToFit="1"/>
    </xf>
    <xf numFmtId="178" fontId="156" fillId="5" borderId="12" xfId="2" applyNumberFormat="1" applyFont="1" applyFill="1" applyBorder="1" applyAlignment="1">
      <alignment horizontal="right" vertical="center" shrinkToFit="1"/>
    </xf>
    <xf numFmtId="178" fontId="156" fillId="5" borderId="13" xfId="2" applyNumberFormat="1" applyFont="1" applyFill="1" applyBorder="1" applyAlignment="1">
      <alignment horizontal="right" vertical="center" shrinkToFit="1"/>
    </xf>
    <xf numFmtId="0" fontId="9" fillId="7" borderId="9" xfId="0" applyFont="1" applyFill="1" applyBorder="1" applyAlignment="1">
      <alignment horizontal="center" vertical="center" shrinkToFit="1"/>
    </xf>
    <xf numFmtId="0" fontId="9" fillId="7" borderId="6" xfId="0" applyFont="1" applyFill="1" applyBorder="1" applyAlignment="1">
      <alignment horizontal="center" vertical="center" shrinkToFit="1"/>
    </xf>
    <xf numFmtId="0" fontId="9" fillId="7" borderId="10" xfId="0" applyFont="1" applyFill="1" applyBorder="1" applyAlignment="1">
      <alignment horizontal="center" vertical="center" shrinkToFit="1"/>
    </xf>
    <xf numFmtId="186" fontId="44" fillId="0" borderId="11" xfId="0" applyNumberFormat="1" applyFont="1" applyBorder="1" applyAlignment="1">
      <alignment horizontal="center" vertical="center"/>
    </xf>
    <xf numFmtId="186" fontId="44" fillId="0" borderId="0" xfId="0" applyNumberFormat="1" applyFont="1" applyAlignment="1">
      <alignment horizontal="center" vertical="center"/>
    </xf>
    <xf numFmtId="186" fontId="44" fillId="0" borderId="8" xfId="0" applyNumberFormat="1" applyFont="1" applyBorder="1" applyAlignment="1">
      <alignment horizontal="center" vertical="center"/>
    </xf>
    <xf numFmtId="189" fontId="81" fillId="10" borderId="2" xfId="2" applyNumberFormat="1" applyFont="1" applyFill="1" applyBorder="1" applyAlignment="1">
      <alignment horizontal="right" vertical="center" shrinkToFit="1"/>
    </xf>
    <xf numFmtId="189" fontId="81" fillId="10" borderId="51" xfId="2" applyNumberFormat="1" applyFont="1" applyFill="1" applyBorder="1" applyAlignment="1">
      <alignment horizontal="right" vertical="center" shrinkToFit="1"/>
    </xf>
    <xf numFmtId="184" fontId="81" fillId="10" borderId="12" xfId="2" applyNumberFormat="1" applyFont="1" applyFill="1" applyBorder="1" applyAlignment="1">
      <alignment horizontal="right" vertical="center" shrinkToFit="1"/>
    </xf>
    <xf numFmtId="184" fontId="81" fillId="10" borderId="13" xfId="2" applyNumberFormat="1" applyFont="1" applyFill="1" applyBorder="1" applyAlignment="1">
      <alignment horizontal="right" vertical="center" shrinkToFit="1"/>
    </xf>
    <xf numFmtId="178" fontId="81" fillId="10" borderId="31" xfId="2" applyNumberFormat="1" applyFont="1" applyFill="1" applyBorder="1" applyAlignment="1">
      <alignment horizontal="center" vertical="center" shrinkToFit="1"/>
    </xf>
    <xf numFmtId="178" fontId="81" fillId="10" borderId="56" xfId="2" applyNumberFormat="1" applyFont="1" applyFill="1" applyBorder="1" applyAlignment="1">
      <alignment horizontal="center" vertical="center" shrinkToFit="1"/>
    </xf>
    <xf numFmtId="178" fontId="81" fillId="10" borderId="32" xfId="2" applyNumberFormat="1" applyFont="1" applyFill="1" applyBorder="1" applyAlignment="1">
      <alignment horizontal="center" vertical="center" shrinkToFit="1"/>
    </xf>
    <xf numFmtId="178" fontId="81" fillId="10" borderId="33" xfId="2" applyNumberFormat="1" applyFont="1" applyFill="1" applyBorder="1" applyAlignment="1">
      <alignment horizontal="center" vertical="center" shrinkToFit="1"/>
    </xf>
    <xf numFmtId="178" fontId="81" fillId="10" borderId="36" xfId="2" applyNumberFormat="1" applyFont="1" applyFill="1" applyBorder="1" applyAlignment="1">
      <alignment horizontal="center" vertical="center" shrinkToFit="1"/>
    </xf>
    <xf numFmtId="178" fontId="81" fillId="10" borderId="34" xfId="2" applyNumberFormat="1" applyFont="1" applyFill="1" applyBorder="1" applyAlignment="1">
      <alignment horizontal="center" vertical="center" shrinkToFit="1"/>
    </xf>
    <xf numFmtId="0" fontId="44" fillId="2" borderId="15"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9"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50" xfId="0" applyFont="1" applyFill="1" applyBorder="1" applyAlignment="1">
      <alignment horizontal="center" vertical="center" wrapText="1" shrinkToFit="1"/>
    </xf>
    <xf numFmtId="0" fontId="44" fillId="2" borderId="11" xfId="0" applyFont="1" applyFill="1" applyBorder="1" applyAlignment="1">
      <alignment horizontal="center" vertical="center" wrapText="1" shrinkToFit="1"/>
    </xf>
    <xf numFmtId="0" fontId="44" fillId="2" borderId="0" xfId="0" applyFont="1" applyFill="1" applyAlignment="1">
      <alignment horizontal="center" vertical="center" wrapText="1" shrinkToFit="1"/>
    </xf>
    <xf numFmtId="0" fontId="44" fillId="2" borderId="8" xfId="0" applyFont="1" applyFill="1" applyBorder="1" applyAlignment="1">
      <alignment horizontal="center" vertical="center" wrapText="1" shrinkToFit="1"/>
    </xf>
    <xf numFmtId="0" fontId="44" fillId="0" borderId="0" xfId="0" applyFont="1" applyAlignment="1">
      <alignment horizontal="left" vertical="top" wrapText="1"/>
    </xf>
    <xf numFmtId="0" fontId="44" fillId="2" borderId="1" xfId="0" applyFont="1" applyFill="1" applyBorder="1" applyAlignment="1">
      <alignment horizontal="center" vertical="center"/>
    </xf>
    <xf numFmtId="0" fontId="44" fillId="2" borderId="46" xfId="0" applyFont="1" applyFill="1" applyBorder="1" applyAlignment="1">
      <alignment horizontal="center" vertical="center"/>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9" xfId="0" applyFont="1" applyFill="1" applyBorder="1" applyAlignment="1">
      <alignment vertical="center" wrapText="1"/>
    </xf>
    <xf numFmtId="0" fontId="44" fillId="2" borderId="5" xfId="0" applyFont="1" applyFill="1" applyBorder="1" applyAlignment="1">
      <alignment vertical="center" wrapText="1"/>
    </xf>
    <xf numFmtId="178" fontId="156" fillId="23" borderId="3" xfId="2" applyNumberFormat="1" applyFont="1" applyFill="1" applyBorder="1" applyAlignment="1">
      <alignment horizontal="right" vertical="center" shrinkToFit="1"/>
    </xf>
    <xf numFmtId="0" fontId="9" fillId="10" borderId="9" xfId="0" applyFont="1" applyFill="1" applyBorder="1" applyAlignment="1">
      <alignment horizontal="center" vertical="center" shrinkToFit="1"/>
    </xf>
    <xf numFmtId="0" fontId="9" fillId="10" borderId="6" xfId="0" applyFont="1" applyFill="1" applyBorder="1" applyAlignment="1">
      <alignment horizontal="center" vertical="center" shrinkToFit="1"/>
    </xf>
    <xf numFmtId="0" fontId="9" fillId="10" borderId="50" xfId="0" applyFont="1" applyFill="1" applyBorder="1" applyAlignment="1">
      <alignment horizontal="center" vertical="center" shrinkToFit="1"/>
    </xf>
    <xf numFmtId="0" fontId="44" fillId="0" borderId="0" xfId="0" applyFont="1" applyAlignment="1">
      <alignment horizontal="left" vertical="center" wrapText="1" shrinkToFit="1"/>
    </xf>
    <xf numFmtId="190" fontId="81" fillId="10" borderId="13" xfId="2" applyNumberFormat="1" applyFont="1" applyFill="1" applyBorder="1" applyAlignment="1">
      <alignment horizontal="right" vertical="center" shrinkToFit="1"/>
    </xf>
    <xf numFmtId="190" fontId="81" fillId="10" borderId="3" xfId="2" applyNumberFormat="1" applyFont="1" applyFill="1" applyBorder="1" applyAlignment="1">
      <alignment horizontal="right" vertical="center" shrinkToFit="1"/>
    </xf>
    <xf numFmtId="186" fontId="81" fillId="5" borderId="9" xfId="2" applyNumberFormat="1" applyFont="1" applyFill="1" applyBorder="1" applyAlignment="1">
      <alignment horizontal="right" vertical="center" shrinkToFit="1"/>
    </xf>
    <xf numFmtId="186" fontId="81" fillId="5" borderId="50" xfId="2" applyNumberFormat="1" applyFont="1" applyFill="1" applyBorder="1" applyAlignment="1">
      <alignment horizontal="right" vertical="center" shrinkToFit="1"/>
    </xf>
    <xf numFmtId="186" fontId="81" fillId="5" borderId="6" xfId="2" applyNumberFormat="1" applyFont="1" applyFill="1" applyBorder="1" applyAlignment="1">
      <alignment horizontal="right" vertical="center" shrinkToFit="1"/>
    </xf>
    <xf numFmtId="0" fontId="44" fillId="2" borderId="15"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4" xfId="0" applyFont="1" applyFill="1" applyBorder="1" applyAlignment="1">
      <alignment horizontal="center" vertical="center"/>
    </xf>
    <xf numFmtId="188" fontId="56" fillId="10" borderId="2" xfId="2" applyNumberFormat="1" applyFont="1" applyFill="1" applyBorder="1" applyAlignment="1">
      <alignment horizontal="right" vertical="center" wrapText="1"/>
    </xf>
    <xf numFmtId="188" fontId="56" fillId="10" borderId="51" xfId="2" applyNumberFormat="1" applyFont="1" applyFill="1" applyBorder="1" applyAlignment="1">
      <alignment horizontal="right" vertical="center" wrapText="1"/>
    </xf>
    <xf numFmtId="182" fontId="81" fillId="10" borderId="5" xfId="2" applyNumberFormat="1" applyFont="1" applyFill="1" applyBorder="1" applyAlignment="1">
      <alignment horizontal="right" vertical="center" shrinkToFit="1"/>
    </xf>
    <xf numFmtId="182" fontId="81" fillId="10" borderId="12" xfId="2" applyNumberFormat="1" applyFont="1" applyFill="1" applyBorder="1" applyAlignment="1">
      <alignment horizontal="right" vertical="center" shrinkToFit="1"/>
    </xf>
    <xf numFmtId="182" fontId="81" fillId="10" borderId="13" xfId="2" applyNumberFormat="1" applyFont="1" applyFill="1" applyBorder="1" applyAlignment="1">
      <alignment horizontal="right" vertical="center" shrinkToFit="1"/>
    </xf>
    <xf numFmtId="0" fontId="9" fillId="0" borderId="0" xfId="0" applyFont="1" applyAlignment="1">
      <alignment horizontal="left" vertical="top" wrapText="1" indent="1"/>
    </xf>
    <xf numFmtId="0" fontId="44" fillId="0" borderId="0" xfId="0" applyFont="1" applyAlignment="1">
      <alignment horizontal="left" vertical="top" wrapText="1" indent="1"/>
    </xf>
    <xf numFmtId="188" fontId="81" fillId="10" borderId="2" xfId="2" applyNumberFormat="1" applyFont="1" applyFill="1" applyBorder="1" applyAlignment="1">
      <alignment horizontal="right" vertical="center" shrinkToFi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4"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1" fillId="10" borderId="5" xfId="2" applyNumberFormat="1" applyFont="1" applyFill="1" applyBorder="1" applyAlignment="1">
      <alignment horizontal="right" vertical="center" shrinkToFit="1"/>
    </xf>
    <xf numFmtId="178" fontId="81" fillId="10" borderId="12" xfId="2" applyNumberFormat="1" applyFont="1" applyFill="1" applyBorder="1" applyAlignment="1">
      <alignment horizontal="right" vertical="center" shrinkToFit="1"/>
    </xf>
    <xf numFmtId="178" fontId="81" fillId="10" borderId="13" xfId="2" applyNumberFormat="1" applyFont="1" applyFill="1" applyBorder="1" applyAlignment="1">
      <alignment horizontal="right" vertical="center" shrinkToFit="1"/>
    </xf>
    <xf numFmtId="0" fontId="9" fillId="0" borderId="0" xfId="0" applyFont="1" applyAlignment="1">
      <alignment horizontal="left" vertical="top"/>
    </xf>
    <xf numFmtId="0" fontId="44" fillId="2" borderId="5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3" xfId="0" applyFont="1" applyFill="1" applyBorder="1" applyAlignment="1">
      <alignment horizontal="center" vertical="center" wrapText="1"/>
    </xf>
    <xf numFmtId="186" fontId="81" fillId="10" borderId="9" xfId="2" applyNumberFormat="1" applyFont="1" applyFill="1" applyBorder="1" applyAlignment="1">
      <alignment horizontal="right" vertical="center" shrinkToFit="1"/>
    </xf>
    <xf numFmtId="186" fontId="81" fillId="10" borderId="6" xfId="2" applyNumberFormat="1" applyFont="1" applyFill="1" applyBorder="1" applyAlignment="1">
      <alignment horizontal="right" vertical="center" shrinkToFit="1"/>
    </xf>
    <xf numFmtId="186" fontId="81" fillId="10" borderId="10" xfId="2" applyNumberFormat="1" applyFont="1" applyFill="1" applyBorder="1" applyAlignment="1">
      <alignment horizontal="right" vertical="center" shrinkToFit="1"/>
    </xf>
    <xf numFmtId="0" fontId="48" fillId="2" borderId="25"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8" fillId="8" borderId="46" xfId="0" applyFont="1" applyFill="1" applyBorder="1" applyAlignment="1">
      <alignment horizontal="center" vertical="center" shrinkToFit="1"/>
    </xf>
    <xf numFmtId="0" fontId="22" fillId="2" borderId="14" xfId="0" applyFont="1" applyFill="1" applyBorder="1" applyAlignment="1">
      <alignment horizontal="center" vertical="center" wrapText="1"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9" fillId="10" borderId="10" xfId="0" applyFont="1" applyFill="1" applyBorder="1" applyAlignment="1">
      <alignment horizontal="center" vertical="center" shrinkToFit="1"/>
    </xf>
    <xf numFmtId="181" fontId="9" fillId="10" borderId="9" xfId="0" applyNumberFormat="1" applyFont="1" applyFill="1" applyBorder="1" applyAlignment="1">
      <alignment horizontal="center" vertical="center" shrinkToFit="1"/>
    </xf>
    <xf numFmtId="181" fontId="9" fillId="10" borderId="10" xfId="0" applyNumberFormat="1" applyFont="1" applyFill="1" applyBorder="1" applyAlignment="1">
      <alignment horizontal="center" vertical="center" shrinkToFit="1"/>
    </xf>
    <xf numFmtId="0" fontId="8" fillId="8" borderId="46" xfId="0" applyFont="1" applyFill="1" applyBorder="1">
      <alignment vertical="center"/>
    </xf>
    <xf numFmtId="0" fontId="9" fillId="8" borderId="47" xfId="0" applyFont="1" applyFill="1" applyBorder="1">
      <alignment vertical="center"/>
    </xf>
    <xf numFmtId="0" fontId="9" fillId="8" borderId="48" xfId="0" applyFont="1" applyFill="1" applyBorder="1">
      <alignment vertical="center"/>
    </xf>
    <xf numFmtId="0" fontId="9" fillId="8" borderId="49" xfId="0" applyFont="1" applyFill="1" applyBorder="1">
      <alignment vertical="center"/>
    </xf>
    <xf numFmtId="0" fontId="44" fillId="2" borderId="2" xfId="0" applyFont="1" applyFill="1" applyBorder="1" applyAlignment="1">
      <alignment vertical="center" wrapText="1"/>
    </xf>
    <xf numFmtId="0" fontId="44" fillId="2" borderId="3" xfId="0" applyFont="1" applyFill="1" applyBorder="1" applyAlignment="1">
      <alignment vertical="center" wrapText="1"/>
    </xf>
    <xf numFmtId="0" fontId="44" fillId="2" borderId="9" xfId="0" applyFont="1" applyFill="1" applyBorder="1" applyAlignment="1">
      <alignment vertical="center" wrapText="1" shrinkToFit="1"/>
    </xf>
    <xf numFmtId="0" fontId="44" fillId="2" borderId="10" xfId="0" applyFont="1" applyFill="1" applyBorder="1" applyAlignment="1">
      <alignment vertical="center" wrapText="1" shrinkToFit="1"/>
    </xf>
    <xf numFmtId="0" fontId="44" fillId="2" borderId="5" xfId="0" applyFont="1" applyFill="1" applyBorder="1" applyAlignment="1">
      <alignment vertical="center" wrapText="1" shrinkToFit="1"/>
    </xf>
    <xf numFmtId="0" fontId="44" fillId="2" borderId="13" xfId="0" applyFont="1" applyFill="1" applyBorder="1" applyAlignment="1">
      <alignment vertical="center" wrapText="1" shrinkToFit="1"/>
    </xf>
    <xf numFmtId="0" fontId="44" fillId="0" borderId="0" xfId="0" applyFont="1" applyAlignment="1">
      <alignment vertical="center" wrapTex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8" fillId="10" borderId="9" xfId="0" applyFont="1" applyFill="1" applyBorder="1" applyAlignment="1">
      <alignment horizontal="center" vertical="center" shrinkToFit="1"/>
    </xf>
    <xf numFmtId="58" fontId="8" fillId="0" borderId="0" xfId="0" applyNumberFormat="1" applyFont="1" applyAlignment="1">
      <alignment horizontal="right" vertical="center"/>
    </xf>
    <xf numFmtId="0" fontId="8" fillId="0" borderId="0" xfId="0" applyFont="1" applyAlignment="1">
      <alignment horizontal="right" vertical="center"/>
    </xf>
    <xf numFmtId="0" fontId="44" fillId="8" borderId="46" xfId="0" applyFont="1" applyFill="1" applyBorder="1" applyAlignment="1">
      <alignment horizontal="center" vertical="center" shrinkToFit="1"/>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0" fontId="87" fillId="7" borderId="42" xfId="0" applyFont="1" applyFill="1" applyBorder="1" applyAlignment="1">
      <alignment horizontal="center" vertical="center"/>
    </xf>
    <xf numFmtId="0" fontId="87" fillId="7" borderId="45" xfId="0" applyFont="1" applyFill="1" applyBorder="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9" fillId="0" borderId="0" xfId="0" applyFont="1" applyAlignment="1">
      <alignment vertical="center" wrapText="1"/>
    </xf>
    <xf numFmtId="0" fontId="48" fillId="10" borderId="6" xfId="0" applyFont="1" applyFill="1" applyBorder="1" applyAlignment="1">
      <alignment horizontal="center" vertical="center" shrinkToFit="1"/>
    </xf>
    <xf numFmtId="0" fontId="48" fillId="10" borderId="50" xfId="0" applyFont="1" applyFill="1" applyBorder="1" applyAlignment="1">
      <alignment horizontal="center" vertical="center" shrinkToFit="1"/>
    </xf>
    <xf numFmtId="186" fontId="81" fillId="10" borderId="35" xfId="2" applyNumberFormat="1" applyFont="1" applyFill="1" applyBorder="1" applyAlignment="1">
      <alignment horizontal="right" vertical="center" shrinkToFit="1"/>
    </xf>
    <xf numFmtId="185" fontId="81" fillId="10" borderId="5" xfId="2" applyNumberFormat="1" applyFont="1" applyFill="1" applyBorder="1" applyAlignment="1">
      <alignment horizontal="right" vertical="center" shrinkToFit="1"/>
    </xf>
    <xf numFmtId="185" fontId="81" fillId="10" borderId="12" xfId="2" applyNumberFormat="1" applyFont="1" applyFill="1" applyBorder="1" applyAlignment="1">
      <alignment horizontal="right" vertical="center" shrinkToFit="1"/>
    </xf>
    <xf numFmtId="185" fontId="81" fillId="10" borderId="30" xfId="2" applyNumberFormat="1" applyFont="1" applyFill="1" applyBorder="1" applyAlignment="1">
      <alignment horizontal="right" vertical="center" shrinkToFit="1"/>
    </xf>
    <xf numFmtId="178" fontId="156" fillId="5" borderId="11" xfId="2" applyNumberFormat="1" applyFont="1" applyFill="1" applyBorder="1" applyAlignment="1">
      <alignment horizontal="right" vertical="center" shrinkToFit="1"/>
    </xf>
    <xf numFmtId="178" fontId="156" fillId="5" borderId="0" xfId="2" applyNumberFormat="1" applyFont="1" applyFill="1" applyBorder="1" applyAlignment="1">
      <alignment horizontal="right" vertical="center" shrinkToFit="1"/>
    </xf>
    <xf numFmtId="178" fontId="156" fillId="5" borderId="8" xfId="2" applyNumberFormat="1" applyFont="1" applyFill="1" applyBorder="1" applyAlignment="1">
      <alignment horizontal="right" vertical="center" shrinkToFit="1"/>
    </xf>
    <xf numFmtId="178" fontId="156" fillId="5" borderId="5"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3" fillId="2" borderId="9" xfId="0" applyFont="1" applyFill="1" applyBorder="1" applyAlignment="1">
      <alignment horizontal="center" vertical="center" wrapText="1" shrinkToFit="1"/>
    </xf>
    <xf numFmtId="0" fontId="63" fillId="2" borderId="6" xfId="0" applyFont="1" applyFill="1" applyBorder="1" applyAlignment="1">
      <alignment horizontal="center" vertical="center" wrapText="1" shrinkToFit="1"/>
    </xf>
    <xf numFmtId="0" fontId="63" fillId="2" borderId="10" xfId="0" applyFont="1" applyFill="1" applyBorder="1" applyAlignment="1">
      <alignment horizontal="center" vertical="center" wrapText="1" shrinkToFit="1"/>
    </xf>
    <xf numFmtId="0" fontId="63" fillId="2" borderId="5" xfId="0" applyFont="1" applyFill="1" applyBorder="1" applyAlignment="1">
      <alignment horizontal="center" vertical="center" wrapText="1" shrinkToFit="1"/>
    </xf>
    <xf numFmtId="0" fontId="63" fillId="2" borderId="12" xfId="0" applyFont="1" applyFill="1" applyBorder="1" applyAlignment="1">
      <alignment horizontal="center" vertical="center" wrapText="1" shrinkToFit="1"/>
    </xf>
    <xf numFmtId="0" fontId="63" fillId="2" borderId="13" xfId="0" applyFont="1" applyFill="1" applyBorder="1" applyAlignment="1">
      <alignment horizontal="center" vertical="center" wrapText="1" shrinkToFit="1"/>
    </xf>
    <xf numFmtId="189" fontId="56" fillId="10" borderId="2" xfId="2" applyNumberFormat="1" applyFont="1" applyFill="1" applyBorder="1" applyAlignment="1">
      <alignment horizontal="right" vertical="center" wrapText="1"/>
    </xf>
    <xf numFmtId="189" fontId="56" fillId="10" borderId="51" xfId="2" applyNumberFormat="1" applyFont="1" applyFill="1" applyBorder="1" applyAlignment="1">
      <alignment horizontal="right" vertical="center" wrapText="1"/>
    </xf>
    <xf numFmtId="0" fontId="9" fillId="23" borderId="9" xfId="0" applyFont="1" applyFill="1" applyBorder="1" applyAlignment="1">
      <alignment horizontal="center" vertical="center" shrinkToFit="1"/>
    </xf>
    <xf numFmtId="0" fontId="9" fillId="23" borderId="6" xfId="0" applyFont="1" applyFill="1" applyBorder="1" applyAlignment="1">
      <alignment horizontal="center" vertical="center" shrinkToFit="1"/>
    </xf>
    <xf numFmtId="0" fontId="9" fillId="23" borderId="10" xfId="0" applyFont="1" applyFill="1" applyBorder="1" applyAlignment="1">
      <alignment horizontal="center" vertical="center" shrinkToFit="1"/>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0" fontId="9" fillId="23" borderId="50" xfId="0" applyFont="1" applyFill="1" applyBorder="1" applyAlignment="1">
      <alignment horizontal="center" vertical="center" shrinkToFit="1"/>
    </xf>
    <xf numFmtId="188" fontId="81" fillId="10" borderId="51" xfId="2" applyNumberFormat="1" applyFont="1" applyFill="1" applyBorder="1" applyAlignment="1">
      <alignment horizontal="right" vertical="center" shrinkToFit="1"/>
    </xf>
    <xf numFmtId="0" fontId="48" fillId="2" borderId="9" xfId="0" applyFont="1" applyFill="1" applyBorder="1" applyAlignment="1">
      <alignment horizontal="center" wrapText="1"/>
    </xf>
    <xf numFmtId="0" fontId="48" fillId="2" borderId="10" xfId="0" applyFont="1" applyFill="1" applyBorder="1" applyAlignment="1">
      <alignment horizontal="center" wrapText="1"/>
    </xf>
    <xf numFmtId="0" fontId="48" fillId="2" borderId="11" xfId="0" applyFont="1" applyFill="1" applyBorder="1" applyAlignment="1">
      <alignment horizontal="center" wrapText="1"/>
    </xf>
    <xf numFmtId="0" fontId="48" fillId="2" borderId="8" xfId="0" applyFont="1" applyFill="1" applyBorder="1" applyAlignment="1">
      <alignment horizontal="center" wrapText="1"/>
    </xf>
    <xf numFmtId="0" fontId="44" fillId="2" borderId="15" xfId="0" applyFont="1" applyFill="1" applyBorder="1">
      <alignment vertical="center"/>
    </xf>
    <xf numFmtId="0" fontId="44" fillId="2" borderId="4" xfId="0" applyFont="1" applyFill="1" applyBorder="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0" xfId="0" applyFont="1" applyBorder="1" applyAlignment="1">
      <alignment horizontal="center" vertical="center"/>
    </xf>
    <xf numFmtId="0" fontId="8" fillId="0" borderId="51" xfId="0" applyFont="1" applyBorder="1" applyAlignment="1">
      <alignment horizontal="center" vertical="center" wrapText="1"/>
    </xf>
    <xf numFmtId="0" fontId="33" fillId="0" borderId="9" xfId="0" applyFont="1" applyBorder="1" applyAlignment="1">
      <alignment horizontal="center" vertical="center"/>
    </xf>
    <xf numFmtId="0" fontId="33" fillId="0" borderId="6" xfId="0" applyFont="1" applyBorder="1" applyAlignment="1">
      <alignment horizontal="center" vertical="center"/>
    </xf>
    <xf numFmtId="0" fontId="33" fillId="0" borderId="50" xfId="0" applyFont="1" applyBorder="1" applyAlignment="1">
      <alignment horizontal="center" vertical="center"/>
    </xf>
    <xf numFmtId="0" fontId="32" fillId="0" borderId="0" xfId="15" applyFont="1" applyAlignment="1" applyProtection="1">
      <alignment horizontal="center" vertical="center"/>
      <protection locked="0"/>
    </xf>
    <xf numFmtId="0" fontId="82" fillId="0" borderId="0" xfId="0" applyFont="1" applyAlignment="1">
      <alignment horizontal="left" vertical="center" wrapText="1"/>
    </xf>
    <xf numFmtId="0" fontId="28" fillId="10" borderId="9" xfId="0" applyFont="1" applyFill="1" applyBorder="1" applyAlignment="1">
      <alignment horizontal="center" vertical="center"/>
    </xf>
    <xf numFmtId="0" fontId="28" fillId="10" borderId="48" xfId="0" applyFont="1" applyFill="1" applyBorder="1" applyAlignment="1">
      <alignment horizontal="center" vertical="center"/>
    </xf>
    <xf numFmtId="0" fontId="28" fillId="10" borderId="49" xfId="0" applyFont="1" applyFill="1" applyBorder="1" applyAlignment="1">
      <alignment horizontal="center" vertical="center"/>
    </xf>
    <xf numFmtId="0" fontId="33" fillId="10" borderId="9" xfId="0" applyFont="1" applyFill="1" applyBorder="1" applyAlignment="1">
      <alignment horizontal="center" vertical="center"/>
    </xf>
    <xf numFmtId="0" fontId="33" fillId="10" borderId="6" xfId="0" applyFont="1" applyFill="1" applyBorder="1" applyAlignment="1">
      <alignment horizontal="center" vertical="center"/>
    </xf>
    <xf numFmtId="0" fontId="33" fillId="10" borderId="50" xfId="0" applyFont="1" applyFill="1" applyBorder="1" applyAlignment="1">
      <alignment horizontal="center" vertical="center"/>
    </xf>
    <xf numFmtId="0" fontId="8" fillId="10" borderId="51" xfId="0" applyFont="1" applyFill="1" applyBorder="1" applyAlignment="1">
      <alignment horizontal="center" vertical="center" wrapText="1"/>
    </xf>
    <xf numFmtId="0" fontId="8" fillId="10" borderId="100" xfId="0" applyFont="1" applyFill="1" applyBorder="1" applyAlignment="1">
      <alignment horizontal="center" vertical="center" wrapText="1"/>
    </xf>
    <xf numFmtId="0" fontId="8" fillId="0" borderId="46" xfId="0" applyFont="1" applyBorder="1" applyAlignment="1">
      <alignment horizontal="center" vertical="center" wrapText="1"/>
    </xf>
    <xf numFmtId="0" fontId="32" fillId="10" borderId="46" xfId="15" applyFont="1" applyFill="1" applyBorder="1" applyAlignment="1" applyProtection="1">
      <alignment horizontal="center" vertical="center" wrapText="1"/>
      <protection locked="0"/>
    </xf>
    <xf numFmtId="0" fontId="33" fillId="10" borderId="47" xfId="0" applyFont="1" applyFill="1" applyBorder="1" applyAlignment="1">
      <alignment horizontal="center" vertical="center"/>
    </xf>
    <xf numFmtId="0" fontId="33" fillId="10" borderId="48" xfId="0" applyFont="1" applyFill="1" applyBorder="1" applyAlignment="1">
      <alignment horizontal="center" vertical="center"/>
    </xf>
    <xf numFmtId="0" fontId="33" fillId="10" borderId="49" xfId="0" applyFont="1" applyFill="1" applyBorder="1" applyAlignment="1">
      <alignment horizontal="center" vertical="center"/>
    </xf>
    <xf numFmtId="0" fontId="23" fillId="0" borderId="46" xfId="0" applyFont="1" applyBorder="1" applyAlignment="1">
      <alignment horizontal="center" vertical="center" wrapText="1"/>
    </xf>
    <xf numFmtId="0" fontId="89" fillId="7" borderId="0" xfId="0" applyFont="1" applyFill="1">
      <alignment vertical="center"/>
    </xf>
    <xf numFmtId="0" fontId="58" fillId="10" borderId="48" xfId="14" applyFont="1" applyFill="1" applyBorder="1" applyAlignment="1">
      <alignment vertical="center"/>
    </xf>
    <xf numFmtId="0" fontId="58" fillId="10" borderId="49" xfId="14" applyFont="1" applyFill="1" applyBorder="1" applyAlignment="1">
      <alignment vertical="center"/>
    </xf>
    <xf numFmtId="0" fontId="58" fillId="10" borderId="47" xfId="14" applyFont="1" applyFill="1" applyBorder="1" applyAlignment="1">
      <alignment horizontal="center" vertical="center"/>
    </xf>
    <xf numFmtId="0" fontId="58" fillId="10" borderId="48" xfId="14" applyFont="1" applyFill="1" applyBorder="1" applyAlignment="1">
      <alignment horizontal="center" vertical="center"/>
    </xf>
    <xf numFmtId="0" fontId="8" fillId="5" borderId="0" xfId="0" applyFont="1" applyFill="1">
      <alignment vertical="center"/>
    </xf>
    <xf numFmtId="0" fontId="39" fillId="0" borderId="9" xfId="0" applyFont="1" applyBorder="1" applyAlignment="1">
      <alignment horizontal="left" vertical="top" wrapText="1"/>
    </xf>
    <xf numFmtId="0" fontId="39" fillId="0" borderId="6" xfId="0" applyFont="1" applyBorder="1" applyAlignment="1">
      <alignment horizontal="left" vertical="top" wrapText="1"/>
    </xf>
    <xf numFmtId="0" fontId="39" fillId="0" borderId="50" xfId="0" applyFont="1" applyBorder="1" applyAlignment="1">
      <alignment horizontal="left" vertical="top" wrapText="1"/>
    </xf>
    <xf numFmtId="0" fontId="39" fillId="0" borderId="11" xfId="0" applyFont="1" applyBorder="1" applyAlignment="1">
      <alignment horizontal="left" vertical="top" wrapText="1"/>
    </xf>
    <xf numFmtId="0" fontId="39" fillId="0" borderId="0" xfId="0" applyFont="1" applyAlignment="1">
      <alignment horizontal="left" vertical="top" wrapText="1"/>
    </xf>
    <xf numFmtId="0" fontId="39" fillId="0" borderId="8" xfId="0" applyFont="1" applyBorder="1" applyAlignment="1">
      <alignment horizontal="left" vertical="top" wrapText="1"/>
    </xf>
    <xf numFmtId="0" fontId="39" fillId="0" borderId="5" xfId="0" applyFont="1" applyBorder="1" applyAlignment="1">
      <alignment horizontal="left" vertical="top" wrapText="1"/>
    </xf>
    <xf numFmtId="0" fontId="39" fillId="0" borderId="12" xfId="0" applyFont="1" applyBorder="1" applyAlignment="1">
      <alignment horizontal="left" vertical="top" wrapText="1"/>
    </xf>
    <xf numFmtId="0" fontId="39" fillId="0" borderId="13" xfId="0" applyFont="1" applyBorder="1" applyAlignment="1">
      <alignment horizontal="left" vertical="top" wrapText="1"/>
    </xf>
    <xf numFmtId="192" fontId="89" fillId="7" borderId="47" xfId="0" applyNumberFormat="1" applyFont="1" applyFill="1" applyBorder="1" applyAlignment="1">
      <alignment horizontal="right" vertical="center" wrapText="1"/>
    </xf>
    <xf numFmtId="192" fontId="18" fillId="7" borderId="48" xfId="0" applyNumberFormat="1" applyFont="1" applyFill="1" applyBorder="1" applyAlignment="1">
      <alignment horizontal="right" vertical="center" wrapText="1"/>
    </xf>
    <xf numFmtId="192" fontId="18" fillId="7" borderId="49" xfId="0" applyNumberFormat="1" applyFont="1" applyFill="1" applyBorder="1" applyAlignment="1">
      <alignment horizontal="right" vertical="center" wrapText="1"/>
    </xf>
    <xf numFmtId="0" fontId="93" fillId="7" borderId="46" xfId="0" applyFont="1" applyFill="1" applyBorder="1" applyAlignment="1">
      <alignment horizontal="left" vertical="center" wrapText="1"/>
    </xf>
    <xf numFmtId="0" fontId="93" fillId="23" borderId="46" xfId="0" applyFont="1" applyFill="1" applyBorder="1" applyAlignment="1">
      <alignment horizontal="center" vertical="center" shrinkToFit="1"/>
    </xf>
    <xf numFmtId="38" fontId="93" fillId="23" borderId="46" xfId="2" applyFont="1" applyFill="1" applyBorder="1" applyAlignment="1" applyProtection="1">
      <alignment horizontal="center" vertical="center" shrinkToFit="1"/>
    </xf>
    <xf numFmtId="0" fontId="9" fillId="8" borderId="51" xfId="14" applyFont="1" applyFill="1" applyBorder="1" applyAlignment="1">
      <alignment horizontal="center" vertical="center"/>
    </xf>
    <xf numFmtId="0" fontId="40" fillId="7" borderId="46" xfId="14" applyFont="1" applyFill="1" applyBorder="1" applyAlignment="1">
      <alignment horizontal="center" vertical="center"/>
    </xf>
    <xf numFmtId="0" fontId="39" fillId="0" borderId="49" xfId="0" applyFont="1" applyBorder="1" applyAlignment="1">
      <alignment horizontal="left" vertical="top" wrapText="1"/>
    </xf>
    <xf numFmtId="0" fontId="39" fillId="0" borderId="46" xfId="0" applyFont="1" applyBorder="1" applyAlignment="1">
      <alignment horizontal="left" vertical="top" wrapText="1"/>
    </xf>
    <xf numFmtId="193" fontId="26" fillId="5" borderId="47" xfId="0" applyNumberFormat="1" applyFont="1" applyFill="1" applyBorder="1" applyAlignment="1">
      <alignment horizontal="center" vertical="center" shrinkToFit="1"/>
    </xf>
    <xf numFmtId="193" fontId="26" fillId="5" borderId="48" xfId="0" applyNumberFormat="1" applyFont="1" applyFill="1" applyBorder="1" applyAlignment="1">
      <alignment horizontal="center" vertical="center" shrinkToFit="1"/>
    </xf>
    <xf numFmtId="193" fontId="26" fillId="5" borderId="49" xfId="0" applyNumberFormat="1" applyFont="1" applyFill="1" applyBorder="1" applyAlignment="1">
      <alignment horizontal="center" vertical="center" shrinkToFit="1"/>
    </xf>
    <xf numFmtId="0" fontId="9" fillId="8" borderId="47" xfId="14" applyFont="1" applyFill="1" applyBorder="1" applyAlignment="1">
      <alignment horizontal="center" vertical="center"/>
    </xf>
    <xf numFmtId="0" fontId="9" fillId="8" borderId="48" xfId="14" applyFont="1" applyFill="1" applyBorder="1" applyAlignment="1">
      <alignment horizontal="center" vertical="center"/>
    </xf>
    <xf numFmtId="0" fontId="9" fillId="8" borderId="49" xfId="14" applyFont="1" applyFill="1" applyBorder="1" applyAlignment="1">
      <alignment horizontal="center" vertical="center"/>
    </xf>
    <xf numFmtId="0" fontId="93" fillId="7" borderId="47" xfId="0" applyFont="1" applyFill="1" applyBorder="1" applyAlignment="1">
      <alignment horizontal="left" vertical="center" wrapText="1"/>
    </xf>
    <xf numFmtId="0" fontId="93" fillId="7" borderId="48" xfId="0" applyFont="1" applyFill="1" applyBorder="1" applyAlignment="1">
      <alignment horizontal="left" vertical="center" wrapText="1"/>
    </xf>
    <xf numFmtId="0" fontId="93" fillId="7" borderId="49" xfId="0" applyFont="1" applyFill="1" applyBorder="1" applyAlignment="1">
      <alignment horizontal="left" vertical="center" wrapText="1"/>
    </xf>
    <xf numFmtId="38" fontId="94" fillId="5" borderId="46" xfId="2" applyFont="1" applyFill="1" applyBorder="1" applyAlignment="1" applyProtection="1">
      <alignment horizontal="center" vertical="center" shrinkToFit="1"/>
    </xf>
    <xf numFmtId="0" fontId="8" fillId="0" borderId="0" xfId="14" applyFont="1" applyAlignment="1">
      <alignment vertical="center" shrinkToFit="1"/>
    </xf>
    <xf numFmtId="0" fontId="46" fillId="7" borderId="0" xfId="14" applyFont="1" applyFill="1" applyAlignment="1">
      <alignment horizontal="center" vertical="center"/>
    </xf>
    <xf numFmtId="0" fontId="8" fillId="0" borderId="0" xfId="14" applyFont="1" applyAlignment="1">
      <alignment vertical="center"/>
    </xf>
    <xf numFmtId="0" fontId="26" fillId="0" borderId="49" xfId="0" applyFont="1" applyBorder="1" applyAlignment="1">
      <alignment horizontal="left" vertical="top" wrapText="1"/>
    </xf>
    <xf numFmtId="0" fontId="26" fillId="0" borderId="46" xfId="0" applyFont="1" applyBorder="1" applyAlignment="1">
      <alignment horizontal="left" vertical="top" wrapText="1"/>
    </xf>
    <xf numFmtId="0" fontId="39" fillId="8" borderId="47" xfId="0" applyFont="1" applyFill="1" applyBorder="1" applyAlignment="1">
      <alignment horizontal="center" vertical="center" wrapText="1"/>
    </xf>
    <xf numFmtId="0" fontId="0" fillId="0" borderId="49" xfId="0" applyBorder="1" applyAlignment="1">
      <alignment horizontal="center" vertical="center"/>
    </xf>
    <xf numFmtId="0" fontId="26" fillId="8" borderId="47" xfId="0" applyFont="1" applyFill="1" applyBorder="1" applyAlignment="1">
      <alignment horizontal="center" vertical="center" wrapText="1"/>
    </xf>
    <xf numFmtId="0" fontId="57" fillId="0" borderId="49" xfId="0" applyFont="1" applyBorder="1" applyAlignment="1">
      <alignment horizontal="center" vertical="center"/>
    </xf>
    <xf numFmtId="0" fontId="26" fillId="8" borderId="49" xfId="0" applyFont="1" applyFill="1" applyBorder="1" applyAlignment="1">
      <alignment horizontal="center" vertical="center"/>
    </xf>
    <xf numFmtId="0" fontId="0" fillId="0" borderId="48" xfId="0" applyBorder="1" applyAlignment="1">
      <alignment horizontal="center" vertical="center"/>
    </xf>
    <xf numFmtId="0" fontId="9" fillId="8" borderId="6" xfId="0" applyFont="1" applyFill="1" applyBorder="1" applyAlignment="1">
      <alignment horizontal="center" vertical="center" wrapText="1"/>
    </xf>
    <xf numFmtId="0" fontId="9" fillId="8" borderId="6" xfId="0" applyFont="1" applyFill="1" applyBorder="1" applyAlignment="1">
      <alignment horizontal="center" vertical="center"/>
    </xf>
    <xf numFmtId="0" fontId="9" fillId="8" borderId="50"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13" xfId="0" applyFont="1" applyFill="1" applyBorder="1" applyAlignment="1">
      <alignment horizontal="center" vertical="center"/>
    </xf>
    <xf numFmtId="38" fontId="97" fillId="5" borderId="47" xfId="2" applyFont="1" applyFill="1" applyBorder="1" applyAlignment="1" applyProtection="1">
      <alignment horizontal="center" vertical="center" shrinkToFit="1"/>
    </xf>
    <xf numFmtId="0" fontId="19" fillId="0" borderId="49" xfId="0" applyFont="1" applyBorder="1" applyAlignment="1">
      <alignment horizontal="center" vertical="center" shrinkToFit="1"/>
    </xf>
    <xf numFmtId="38" fontId="97" fillId="5" borderId="86" xfId="2" applyFont="1" applyFill="1" applyBorder="1" applyAlignment="1" applyProtection="1">
      <alignment horizontal="center" vertical="center" shrinkToFit="1"/>
    </xf>
    <xf numFmtId="0" fontId="19" fillId="0" borderId="87" xfId="0" applyFont="1" applyBorder="1" applyAlignment="1">
      <alignment horizontal="center" vertical="center" shrinkToFit="1"/>
    </xf>
    <xf numFmtId="0" fontId="97" fillId="5" borderId="86" xfId="0" applyFont="1" applyFill="1" applyBorder="1" applyAlignment="1">
      <alignment horizontal="center" vertical="center" shrinkToFit="1"/>
    </xf>
    <xf numFmtId="38" fontId="32" fillId="5" borderId="47" xfId="2" applyFont="1" applyFill="1" applyBorder="1" applyAlignment="1" applyProtection="1">
      <alignment horizontal="center" vertical="center" shrinkToFit="1"/>
    </xf>
    <xf numFmtId="38" fontId="32" fillId="5" borderId="49" xfId="2" applyFont="1" applyFill="1" applyBorder="1" applyAlignment="1" applyProtection="1">
      <alignment horizontal="center" vertical="center" shrinkToFit="1"/>
    </xf>
    <xf numFmtId="0" fontId="45" fillId="0" borderId="0" xfId="0" applyFont="1" applyAlignment="1">
      <alignment horizontal="left" vertical="center" wrapText="1"/>
    </xf>
    <xf numFmtId="0" fontId="39" fillId="8" borderId="51" xfId="0" applyFont="1" applyFill="1" applyBorder="1" applyAlignment="1">
      <alignment horizontal="center" vertical="center"/>
    </xf>
    <xf numFmtId="3" fontId="92" fillId="5" borderId="51" xfId="0" applyNumberFormat="1" applyFont="1" applyFill="1" applyBorder="1" applyAlignment="1">
      <alignment horizontal="center" vertical="center" shrinkToFit="1"/>
    </xf>
    <xf numFmtId="3" fontId="92" fillId="5" borderId="9" xfId="0" applyNumberFormat="1" applyFont="1" applyFill="1" applyBorder="1" applyAlignment="1">
      <alignment horizontal="center" vertical="center" shrinkToFit="1"/>
    </xf>
    <xf numFmtId="3" fontId="92" fillId="5" borderId="7" xfId="0" applyNumberFormat="1" applyFont="1" applyFill="1" applyBorder="1" applyAlignment="1">
      <alignment horizontal="center" vertical="center" shrinkToFit="1"/>
    </xf>
    <xf numFmtId="3" fontId="92" fillId="5" borderId="11" xfId="0" applyNumberFormat="1" applyFont="1" applyFill="1" applyBorder="1" applyAlignment="1">
      <alignment horizontal="center" vertical="center" shrinkToFit="1"/>
    </xf>
    <xf numFmtId="3" fontId="92" fillId="5" borderId="3" xfId="0" applyNumberFormat="1" applyFont="1" applyFill="1" applyBorder="1" applyAlignment="1">
      <alignment horizontal="center" vertical="center" shrinkToFit="1"/>
    </xf>
    <xf numFmtId="3" fontId="92" fillId="5" borderId="5" xfId="0" applyNumberFormat="1" applyFont="1" applyFill="1" applyBorder="1" applyAlignment="1">
      <alignment horizontal="center" vertical="center" shrinkToFit="1"/>
    </xf>
    <xf numFmtId="0" fontId="45" fillId="0" borderId="0" xfId="0" applyFont="1" applyAlignment="1">
      <alignment horizontal="left" vertical="top" wrapText="1"/>
    </xf>
    <xf numFmtId="0" fontId="23" fillId="5" borderId="51" xfId="14" applyFont="1" applyFill="1" applyBorder="1" applyAlignment="1">
      <alignment horizontal="center" vertical="top"/>
    </xf>
    <xf numFmtId="0" fontId="60" fillId="5" borderId="51" xfId="14" applyFont="1" applyFill="1" applyBorder="1" applyAlignment="1">
      <alignment horizontal="center" vertical="top"/>
    </xf>
    <xf numFmtId="0" fontId="49" fillId="3" borderId="51" xfId="0" applyFont="1" applyFill="1" applyBorder="1" applyAlignment="1">
      <alignment horizontal="left" vertical="top"/>
    </xf>
    <xf numFmtId="0" fontId="8" fillId="5" borderId="51" xfId="14" applyFont="1" applyFill="1" applyBorder="1" applyAlignment="1">
      <alignment horizontal="center" vertical="top"/>
    </xf>
    <xf numFmtId="0" fontId="48" fillId="5" borderId="51" xfId="14" applyFont="1" applyFill="1" applyBorder="1" applyAlignment="1">
      <alignment horizontal="center" vertical="top"/>
    </xf>
    <xf numFmtId="0" fontId="23" fillId="5" borderId="3" xfId="14" applyFont="1" applyFill="1" applyBorder="1" applyAlignment="1">
      <alignment horizontal="center" vertical="center"/>
    </xf>
    <xf numFmtId="0" fontId="60" fillId="5" borderId="3" xfId="14" applyFont="1" applyFill="1" applyBorder="1" applyAlignment="1">
      <alignment horizontal="center" vertical="center"/>
    </xf>
    <xf numFmtId="0" fontId="49" fillId="3" borderId="3" xfId="0" applyFont="1" applyFill="1" applyBorder="1" applyAlignment="1">
      <alignment horizontal="left" vertical="top"/>
    </xf>
    <xf numFmtId="0" fontId="23" fillId="5" borderId="7" xfId="14" applyFont="1" applyFill="1" applyBorder="1" applyAlignment="1">
      <alignment horizontal="center" vertical="center"/>
    </xf>
    <xf numFmtId="0" fontId="60" fillId="5" borderId="7" xfId="14" applyFont="1" applyFill="1" applyBorder="1" applyAlignment="1">
      <alignment horizontal="center" vertical="center"/>
    </xf>
    <xf numFmtId="0" fontId="49" fillId="3" borderId="7" xfId="0" applyFont="1" applyFill="1" applyBorder="1" applyAlignment="1">
      <alignment horizontal="left" vertical="top"/>
    </xf>
    <xf numFmtId="0" fontId="100" fillId="23" borderId="9" xfId="0" applyFont="1" applyFill="1" applyBorder="1" applyAlignment="1">
      <alignment horizontal="left" vertical="top" wrapText="1"/>
    </xf>
    <xf numFmtId="0" fontId="100" fillId="23" borderId="6" xfId="0" applyFont="1" applyFill="1" applyBorder="1" applyAlignment="1">
      <alignment horizontal="left" vertical="top" wrapText="1"/>
    </xf>
    <xf numFmtId="0" fontId="100" fillId="23" borderId="50" xfId="0" applyFont="1" applyFill="1" applyBorder="1" applyAlignment="1">
      <alignment horizontal="left" vertical="top" wrapText="1"/>
    </xf>
    <xf numFmtId="0" fontId="19" fillId="23" borderId="11" xfId="0" applyFont="1" applyFill="1" applyBorder="1" applyAlignment="1">
      <alignment horizontal="left" vertical="top" wrapText="1"/>
    </xf>
    <xf numFmtId="0" fontId="19" fillId="23" borderId="0" xfId="0" applyFont="1" applyFill="1" applyAlignment="1">
      <alignment horizontal="left" vertical="top" wrapText="1"/>
    </xf>
    <xf numFmtId="0" fontId="19" fillId="23" borderId="8" xfId="0" applyFont="1" applyFill="1" applyBorder="1" applyAlignment="1">
      <alignment horizontal="left" vertical="top" wrapText="1"/>
    </xf>
    <xf numFmtId="0" fontId="19" fillId="23" borderId="5" xfId="0" applyFont="1" applyFill="1" applyBorder="1" applyAlignment="1">
      <alignment horizontal="left" vertical="top" wrapText="1"/>
    </xf>
    <xf numFmtId="0" fontId="19" fillId="23" borderId="12" xfId="0" applyFont="1" applyFill="1" applyBorder="1" applyAlignment="1">
      <alignment horizontal="left" vertical="top" wrapText="1"/>
    </xf>
    <xf numFmtId="0" fontId="19" fillId="23" borderId="13" xfId="0" applyFont="1" applyFill="1" applyBorder="1" applyAlignment="1">
      <alignment horizontal="left" vertical="top" wrapText="1"/>
    </xf>
    <xf numFmtId="0" fontId="49" fillId="3" borderId="5" xfId="0" applyFont="1" applyFill="1" applyBorder="1" applyAlignment="1">
      <alignment horizontal="center" vertical="top" wrapText="1"/>
    </xf>
    <xf numFmtId="0" fontId="0" fillId="3" borderId="12" xfId="0" applyFill="1" applyBorder="1" applyAlignment="1">
      <alignment horizontal="center" vertical="top"/>
    </xf>
    <xf numFmtId="0" fontId="0" fillId="3" borderId="13" xfId="0" applyFill="1" applyBorder="1" applyAlignment="1">
      <alignment horizontal="center" vertical="top"/>
    </xf>
    <xf numFmtId="0" fontId="9" fillId="8" borderId="46" xfId="14" applyFont="1" applyFill="1" applyBorder="1" applyAlignment="1">
      <alignment horizontal="center" vertical="center" wrapText="1"/>
    </xf>
    <xf numFmtId="0" fontId="9" fillId="8" borderId="46" xfId="14" applyFont="1" applyFill="1" applyBorder="1" applyAlignment="1">
      <alignment horizontal="center" vertical="center"/>
    </xf>
    <xf numFmtId="0" fontId="39" fillId="8" borderId="51" xfId="0" applyFont="1" applyFill="1" applyBorder="1" applyAlignment="1">
      <alignment horizontal="center" vertical="top"/>
    </xf>
    <xf numFmtId="192" fontId="38" fillId="7" borderId="5" xfId="2" applyNumberFormat="1" applyFont="1" applyFill="1" applyBorder="1" applyAlignment="1" applyProtection="1">
      <alignment horizontal="right" vertical="center" wrapText="1"/>
    </xf>
    <xf numFmtId="192" fontId="40" fillId="0" borderId="12" xfId="2" applyNumberFormat="1" applyFont="1" applyBorder="1" applyAlignment="1" applyProtection="1">
      <alignment horizontal="right" vertical="center" wrapText="1"/>
    </xf>
    <xf numFmtId="192" fontId="40" fillId="0" borderId="13" xfId="2" applyNumberFormat="1" applyFont="1" applyBorder="1" applyAlignment="1" applyProtection="1">
      <alignment horizontal="right" vertical="center" wrapText="1"/>
    </xf>
    <xf numFmtId="0" fontId="39" fillId="3" borderId="9" xfId="0" applyFont="1" applyFill="1" applyBorder="1" applyAlignment="1">
      <alignment horizontal="right" vertical="center" wrapText="1"/>
    </xf>
    <xf numFmtId="0" fontId="0" fillId="3" borderId="6" xfId="0" applyFill="1" applyBorder="1" applyAlignment="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3" fillId="5" borderId="51" xfId="14" applyFont="1" applyFill="1" applyBorder="1" applyAlignment="1">
      <alignment horizontal="center" vertical="center"/>
    </xf>
    <xf numFmtId="0" fontId="60" fillId="5" borderId="51" xfId="14" applyFont="1" applyFill="1" applyBorder="1" applyAlignment="1">
      <alignment horizontal="center" vertical="center"/>
    </xf>
    <xf numFmtId="0" fontId="49" fillId="3" borderId="51" xfId="0" applyFont="1" applyFill="1" applyBorder="1" applyAlignment="1">
      <alignment horizontal="left" vertical="top" wrapText="1"/>
    </xf>
    <xf numFmtId="0" fontId="101" fillId="23" borderId="6" xfId="0" applyFont="1" applyFill="1" applyBorder="1" applyAlignment="1">
      <alignment horizontal="left" vertical="top" wrapText="1"/>
    </xf>
    <xf numFmtId="0" fontId="101" fillId="23" borderId="50" xfId="0" applyFont="1" applyFill="1" applyBorder="1" applyAlignment="1">
      <alignment horizontal="left" vertical="top" wrapText="1"/>
    </xf>
    <xf numFmtId="0" fontId="49" fillId="3" borderId="11" xfId="0" applyFont="1" applyFill="1" applyBorder="1" applyAlignment="1">
      <alignment horizontal="center" vertical="top" wrapText="1"/>
    </xf>
    <xf numFmtId="0" fontId="0" fillId="0" borderId="0" xfId="0" applyAlignment="1">
      <alignment horizontal="center" vertical="top"/>
    </xf>
    <xf numFmtId="0" fontId="0" fillId="0" borderId="8"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39" fillId="8" borderId="46" xfId="0" applyFont="1" applyFill="1" applyBorder="1" applyAlignment="1">
      <alignment horizontal="left" vertical="center"/>
    </xf>
    <xf numFmtId="0" fontId="39" fillId="8" borderId="47" xfId="0" applyFont="1" applyFill="1" applyBorder="1" applyAlignment="1">
      <alignment horizontal="left" vertical="center"/>
    </xf>
    <xf numFmtId="192" fontId="93" fillId="23" borderId="46" xfId="0" applyNumberFormat="1" applyFont="1" applyFill="1" applyBorder="1" applyAlignment="1">
      <alignment horizontal="center" vertical="center" wrapText="1"/>
    </xf>
    <xf numFmtId="192" fontId="97" fillId="23" borderId="49" xfId="0" applyNumberFormat="1" applyFont="1" applyFill="1" applyBorder="1" applyAlignment="1">
      <alignment horizontal="center" vertical="center" wrapText="1"/>
    </xf>
    <xf numFmtId="192" fontId="97" fillId="23" borderId="46" xfId="0" applyNumberFormat="1" applyFont="1" applyFill="1" applyBorder="1" applyAlignment="1">
      <alignment horizontal="center" vertical="center" wrapText="1"/>
    </xf>
    <xf numFmtId="0" fontId="19" fillId="23" borderId="6" xfId="0" applyFont="1" applyFill="1" applyBorder="1" applyAlignment="1">
      <alignment horizontal="left" vertical="top" wrapText="1"/>
    </xf>
    <xf numFmtId="0" fontId="19" fillId="23" borderId="50" xfId="0" applyFont="1" applyFill="1" applyBorder="1" applyAlignment="1">
      <alignment horizontal="left" vertical="top" wrapText="1"/>
    </xf>
    <xf numFmtId="0" fontId="24" fillId="0" borderId="0" xfId="0" applyFont="1" applyAlignment="1">
      <alignment horizontal="left" vertical="center" wrapText="1"/>
    </xf>
    <xf numFmtId="0" fontId="48" fillId="8" borderId="46" xfId="14" applyFont="1" applyFill="1" applyBorder="1" applyAlignment="1">
      <alignment horizontal="center" vertical="center"/>
    </xf>
    <xf numFmtId="0" fontId="49" fillId="8" borderId="46" xfId="0" applyFont="1" applyFill="1" applyBorder="1" applyAlignment="1">
      <alignment horizontal="center" vertical="center"/>
    </xf>
    <xf numFmtId="180" fontId="9" fillId="5" borderId="46" xfId="14" applyNumberFormat="1" applyFont="1" applyFill="1" applyBorder="1" applyAlignment="1">
      <alignment horizontal="center" vertical="center"/>
    </xf>
    <xf numFmtId="0" fontId="39" fillId="0" borderId="46" xfId="0" applyFont="1" applyBorder="1" applyAlignment="1">
      <alignment horizontal="left" vertical="center"/>
    </xf>
    <xf numFmtId="0" fontId="99" fillId="7" borderId="0" xfId="0" applyFont="1" applyFill="1" applyAlignment="1">
      <alignment horizontal="center" vertical="center"/>
    </xf>
    <xf numFmtId="0" fontId="39" fillId="0" borderId="47" xfId="0" applyFont="1" applyBorder="1" applyAlignment="1">
      <alignment horizontal="left" vertical="top" wrapText="1"/>
    </xf>
    <xf numFmtId="0" fontId="93" fillId="23" borderId="46" xfId="0" applyFont="1" applyFill="1" applyBorder="1" applyAlignment="1">
      <alignment horizontal="center" vertical="center"/>
    </xf>
    <xf numFmtId="0" fontId="23" fillId="0" borderId="6" xfId="14" applyFont="1" applyBorder="1" applyAlignment="1">
      <alignment horizontal="left" vertical="top" wrapText="1"/>
    </xf>
    <xf numFmtId="0" fontId="57" fillId="0" borderId="6" xfId="0" applyFont="1" applyBorder="1" applyAlignment="1">
      <alignment horizontal="left" vertical="top"/>
    </xf>
    <xf numFmtId="0" fontId="9" fillId="8" borderId="46" xfId="14" applyFont="1" applyFill="1" applyBorder="1" applyAlignment="1">
      <alignment horizontal="center" vertical="center" textRotation="255"/>
    </xf>
    <xf numFmtId="0" fontId="39" fillId="8" borderId="46" xfId="0" applyFont="1" applyFill="1" applyBorder="1" applyAlignment="1">
      <alignment horizontal="center" vertical="center"/>
    </xf>
    <xf numFmtId="0" fontId="39" fillId="8" borderId="47" xfId="0" applyFont="1" applyFill="1" applyBorder="1" applyAlignment="1">
      <alignment horizontal="center" vertical="center"/>
    </xf>
    <xf numFmtId="0" fontId="39" fillId="0" borderId="50" xfId="0" applyFont="1" applyBorder="1" applyAlignment="1">
      <alignment horizontal="left" vertical="center" wrapText="1"/>
    </xf>
    <xf numFmtId="0" fontId="39" fillId="0" borderId="51" xfId="0" applyFont="1" applyBorder="1" applyAlignment="1">
      <alignment horizontal="left" vertical="center" wrapText="1"/>
    </xf>
    <xf numFmtId="0" fontId="39" fillId="0" borderId="9" xfId="0" applyFont="1" applyBorder="1" applyAlignment="1">
      <alignment horizontal="left" vertical="center" wrapText="1"/>
    </xf>
    <xf numFmtId="0" fontId="19" fillId="0" borderId="51" xfId="0" applyFont="1" applyBorder="1" applyAlignment="1">
      <alignment horizontal="left" vertical="center" wrapText="1"/>
    </xf>
    <xf numFmtId="0" fontId="93" fillId="0" borderId="51" xfId="0" applyFont="1" applyBorder="1" applyAlignment="1">
      <alignment horizontal="left" vertical="center" wrapText="1"/>
    </xf>
    <xf numFmtId="0" fontId="24" fillId="0" borderId="12" xfId="0" applyFont="1" applyBorder="1" applyAlignment="1">
      <alignment horizontal="left" vertical="center" wrapText="1"/>
    </xf>
    <xf numFmtId="0" fontId="9" fillId="8" borderId="7" xfId="14" applyFont="1" applyFill="1" applyBorder="1" applyAlignment="1">
      <alignment horizontal="center" vertical="center"/>
    </xf>
    <xf numFmtId="0" fontId="46" fillId="7" borderId="79" xfId="14" applyFont="1" applyFill="1" applyBorder="1" applyAlignment="1">
      <alignment horizontal="center" vertical="center" wrapText="1"/>
    </xf>
    <xf numFmtId="0" fontId="40" fillId="7" borderId="80" xfId="0" applyFont="1" applyFill="1" applyBorder="1" applyAlignment="1">
      <alignment horizontal="center" vertical="center" wrapText="1"/>
    </xf>
    <xf numFmtId="0" fontId="40" fillId="7" borderId="9" xfId="14" applyFont="1" applyFill="1" applyBorder="1" applyAlignment="1">
      <alignment horizontal="center" vertical="center"/>
    </xf>
    <xf numFmtId="0" fontId="40" fillId="7" borderId="50" xfId="14" applyFont="1" applyFill="1" applyBorder="1" applyAlignment="1">
      <alignment horizontal="center" vertical="center"/>
    </xf>
    <xf numFmtId="0" fontId="40" fillId="7" borderId="5" xfId="14" applyFont="1" applyFill="1" applyBorder="1" applyAlignment="1">
      <alignment horizontal="center" vertical="center"/>
    </xf>
    <xf numFmtId="0" fontId="40" fillId="7" borderId="13" xfId="14" applyFont="1" applyFill="1" applyBorder="1" applyAlignment="1">
      <alignment horizontal="center" vertical="center"/>
    </xf>
    <xf numFmtId="0" fontId="93" fillId="23" borderId="3" xfId="0" applyFont="1" applyFill="1" applyBorder="1" applyAlignment="1">
      <alignment horizontal="left" vertical="top" wrapText="1"/>
    </xf>
    <xf numFmtId="0" fontId="39" fillId="23" borderId="3" xfId="0" applyFont="1" applyFill="1" applyBorder="1" applyAlignment="1">
      <alignment horizontal="left" vertical="top" wrapText="1"/>
    </xf>
    <xf numFmtId="0" fontId="39" fillId="23" borderId="5" xfId="0" applyFont="1" applyFill="1" applyBorder="1" applyAlignment="1">
      <alignment horizontal="left" vertical="top" wrapText="1"/>
    </xf>
    <xf numFmtId="0" fontId="93" fillId="23" borderId="3" xfId="0" applyFont="1" applyFill="1" applyBorder="1" applyAlignment="1">
      <alignment horizontal="left" vertical="center" wrapText="1"/>
    </xf>
    <xf numFmtId="0" fontId="39" fillId="0" borderId="49" xfId="0" applyFont="1" applyBorder="1" applyAlignment="1">
      <alignment horizontal="left" vertical="center" wrapText="1"/>
    </xf>
    <xf numFmtId="0" fontId="39" fillId="0" borderId="46" xfId="0" applyFont="1" applyBorder="1" applyAlignment="1">
      <alignment horizontal="left" vertical="center" wrapText="1"/>
    </xf>
    <xf numFmtId="0" fontId="39" fillId="0" borderId="47" xfId="0" applyFont="1" applyBorder="1" applyAlignment="1">
      <alignment horizontal="left" vertical="center" wrapText="1"/>
    </xf>
    <xf numFmtId="0" fontId="93" fillId="23" borderId="46" xfId="0" applyFont="1" applyFill="1" applyBorder="1" applyAlignment="1">
      <alignment horizontal="left" vertical="center" wrapText="1"/>
    </xf>
    <xf numFmtId="0" fontId="97" fillId="23" borderId="46" xfId="0" applyFont="1" applyFill="1" applyBorder="1" applyAlignment="1">
      <alignment horizontal="left" vertical="center" wrapText="1"/>
    </xf>
    <xf numFmtId="0" fontId="39" fillId="0" borderId="6" xfId="0" applyFont="1" applyBorder="1" applyAlignment="1">
      <alignment horizontal="left" vertical="center"/>
    </xf>
    <xf numFmtId="0" fontId="39" fillId="0" borderId="50" xfId="0" applyFont="1" applyBorder="1" applyAlignment="1">
      <alignment horizontal="left" vertical="center"/>
    </xf>
    <xf numFmtId="0" fontId="39" fillId="0" borderId="48" xfId="0" applyFont="1" applyBorder="1" applyAlignment="1">
      <alignment horizontal="left" vertical="center"/>
    </xf>
    <xf numFmtId="0" fontId="39" fillId="0" borderId="49" xfId="0" applyFont="1" applyBorder="1" applyAlignment="1">
      <alignment horizontal="left" vertical="center"/>
    </xf>
    <xf numFmtId="0" fontId="39" fillId="0" borderId="48" xfId="0" applyFont="1" applyBorder="1" applyAlignment="1">
      <alignment horizontal="left" vertical="center" wrapText="1"/>
    </xf>
    <xf numFmtId="0" fontId="157" fillId="23" borderId="12" xfId="0" applyFont="1" applyFill="1" applyBorder="1" applyAlignment="1">
      <alignment horizontal="left" vertical="center" wrapText="1"/>
    </xf>
    <xf numFmtId="0" fontId="39" fillId="23" borderId="12" xfId="0" applyFont="1" applyFill="1" applyBorder="1" applyAlignment="1">
      <alignment horizontal="left" vertical="center"/>
    </xf>
    <xf numFmtId="0" fontId="39" fillId="23" borderId="13" xfId="0" applyFont="1" applyFill="1" applyBorder="1" applyAlignment="1">
      <alignment horizontal="left" vertical="center"/>
    </xf>
    <xf numFmtId="0" fontId="39" fillId="8" borderId="48" xfId="0" applyFont="1" applyFill="1" applyBorder="1" applyAlignment="1">
      <alignment horizontal="center" vertical="center"/>
    </xf>
    <xf numFmtId="0" fontId="39" fillId="8" borderId="49" xfId="0" applyFont="1" applyFill="1" applyBorder="1" applyAlignment="1">
      <alignment horizontal="center" vertical="center"/>
    </xf>
    <xf numFmtId="3" fontId="92" fillId="0" borderId="47" xfId="0" applyNumberFormat="1" applyFont="1" applyBorder="1" applyAlignment="1">
      <alignment horizontal="center" vertical="center" shrinkToFit="1"/>
    </xf>
    <xf numFmtId="3" fontId="92" fillId="0" borderId="48" xfId="0" applyNumberFormat="1" applyFont="1" applyBorder="1" applyAlignment="1">
      <alignment horizontal="center" vertical="center" shrinkToFit="1"/>
    </xf>
    <xf numFmtId="0" fontId="92" fillId="0" borderId="49" xfId="0" applyFont="1" applyBorder="1" applyAlignment="1">
      <alignment horizontal="center" vertical="center" shrinkToFit="1"/>
    </xf>
    <xf numFmtId="38" fontId="32" fillId="5" borderId="47" xfId="0" applyNumberFormat="1" applyFont="1" applyFill="1" applyBorder="1" applyAlignment="1">
      <alignment horizontal="center" vertical="center" shrinkToFit="1"/>
    </xf>
    <xf numFmtId="0" fontId="32" fillId="5" borderId="48" xfId="0" applyFont="1" applyFill="1" applyBorder="1" applyAlignment="1">
      <alignment horizontal="center" vertical="center" shrinkToFit="1"/>
    </xf>
    <xf numFmtId="0" fontId="32" fillId="5" borderId="49" xfId="0" applyFont="1" applyFill="1" applyBorder="1" applyAlignment="1">
      <alignment horizontal="center" vertical="center" shrinkToFit="1"/>
    </xf>
    <xf numFmtId="0" fontId="9" fillId="8" borderId="9" xfId="14" applyFont="1" applyFill="1" applyBorder="1" applyAlignment="1">
      <alignment horizontal="center" vertical="center" wrapText="1"/>
    </xf>
    <xf numFmtId="0" fontId="9" fillId="8" borderId="50" xfId="14" applyFont="1" applyFill="1" applyBorder="1" applyAlignment="1">
      <alignment horizontal="center" vertical="center" wrapText="1"/>
    </xf>
    <xf numFmtId="0" fontId="39" fillId="8" borderId="9" xfId="0" applyFont="1" applyFill="1" applyBorder="1" applyAlignment="1">
      <alignment horizontal="center" vertical="center" wrapText="1"/>
    </xf>
    <xf numFmtId="0" fontId="39" fillId="8" borderId="50" xfId="0" applyFont="1" applyFill="1" applyBorder="1" applyAlignment="1">
      <alignment horizontal="center" vertical="center" wrapText="1"/>
    </xf>
    <xf numFmtId="0" fontId="39" fillId="8" borderId="9" xfId="0" applyFont="1" applyFill="1" applyBorder="1" applyAlignment="1">
      <alignment horizontal="center" vertical="center"/>
    </xf>
    <xf numFmtId="0" fontId="39" fillId="8" borderId="6" xfId="0" applyFont="1" applyFill="1" applyBorder="1" applyAlignment="1">
      <alignment horizontal="center" vertical="center"/>
    </xf>
    <xf numFmtId="0" fontId="39" fillId="8" borderId="50" xfId="0" applyFont="1" applyFill="1" applyBorder="1" applyAlignment="1">
      <alignment horizontal="center" vertical="center"/>
    </xf>
    <xf numFmtId="38" fontId="32" fillId="5" borderId="48" xfId="2" applyFont="1" applyFill="1" applyBorder="1" applyAlignment="1" applyProtection="1">
      <alignment horizontal="center" vertical="center" shrinkToFit="1"/>
    </xf>
    <xf numFmtId="0" fontId="9" fillId="8" borderId="9" xfId="14" applyFont="1" applyFill="1" applyBorder="1" applyAlignment="1">
      <alignment horizontal="center" vertical="center"/>
    </xf>
    <xf numFmtId="0" fontId="9" fillId="8" borderId="6" xfId="14" applyFont="1" applyFill="1" applyBorder="1" applyAlignment="1">
      <alignment horizontal="center" vertical="center"/>
    </xf>
    <xf numFmtId="0" fontId="9" fillId="8" borderId="50" xfId="14" applyFont="1" applyFill="1" applyBorder="1" applyAlignment="1">
      <alignment horizontal="center" vertical="center"/>
    </xf>
    <xf numFmtId="0" fontId="39" fillId="8" borderId="6" xfId="0" applyFont="1" applyFill="1" applyBorder="1" applyAlignment="1">
      <alignment horizontal="center" vertical="center" wrapText="1"/>
    </xf>
    <xf numFmtId="0" fontId="39" fillId="8" borderId="11" xfId="0" applyFont="1" applyFill="1" applyBorder="1" applyAlignment="1">
      <alignment horizontal="center" vertical="center"/>
    </xf>
    <xf numFmtId="0" fontId="39" fillId="8" borderId="0" xfId="0" applyFont="1" applyFill="1" applyAlignment="1">
      <alignment horizontal="center" vertical="center"/>
    </xf>
    <xf numFmtId="0" fontId="39" fillId="8" borderId="8" xfId="0" applyFont="1" applyFill="1" applyBorder="1" applyAlignment="1">
      <alignment horizontal="center" vertical="center"/>
    </xf>
    <xf numFmtId="0" fontId="39" fillId="8" borderId="11" xfId="0" applyFont="1" applyFill="1" applyBorder="1" applyAlignment="1">
      <alignment horizontal="center" vertical="center" wrapText="1"/>
    </xf>
    <xf numFmtId="0" fontId="39" fillId="8" borderId="8" xfId="0" applyFont="1" applyFill="1" applyBorder="1" applyAlignment="1">
      <alignment horizontal="center" vertical="center" wrapText="1"/>
    </xf>
    <xf numFmtId="38" fontId="32" fillId="0" borderId="47"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38" fontId="32" fillId="0" borderId="49" xfId="2" applyFont="1" applyFill="1" applyBorder="1" applyAlignment="1" applyProtection="1">
      <alignment horizontal="center" vertical="center" shrinkToFit="1"/>
    </xf>
    <xf numFmtId="38" fontId="32" fillId="23" borderId="47" xfId="2" applyFont="1" applyFill="1" applyBorder="1" applyAlignment="1" applyProtection="1">
      <alignment horizontal="center" vertical="center" shrinkToFit="1"/>
    </xf>
    <xf numFmtId="38" fontId="32" fillId="23" borderId="49" xfId="2" applyFont="1" applyFill="1" applyBorder="1" applyAlignment="1" applyProtection="1">
      <alignment horizontal="center" vertical="center" shrinkToFit="1"/>
    </xf>
    <xf numFmtId="38" fontId="32" fillId="23" borderId="48" xfId="2" applyFont="1" applyFill="1" applyBorder="1" applyAlignment="1" applyProtection="1">
      <alignment horizontal="center" vertical="center" shrinkToFit="1"/>
    </xf>
    <xf numFmtId="38" fontId="32" fillId="23" borderId="5" xfId="2" applyFont="1" applyFill="1" applyBorder="1" applyAlignment="1" applyProtection="1">
      <alignment horizontal="center" vertical="center" shrinkToFit="1"/>
    </xf>
    <xf numFmtId="38" fontId="32" fillId="23" borderId="13" xfId="2" applyFont="1" applyFill="1" applyBorder="1" applyAlignment="1" applyProtection="1">
      <alignment horizontal="center" vertical="center" shrinkToFit="1"/>
    </xf>
    <xf numFmtId="3" fontId="92" fillId="0" borderId="5" xfId="0" applyNumberFormat="1" applyFont="1" applyBorder="1" applyAlignment="1">
      <alignment horizontal="center" vertical="center" shrinkToFit="1"/>
    </xf>
    <xf numFmtId="3" fontId="92" fillId="0" borderId="12" xfId="0" applyNumberFormat="1" applyFont="1" applyBorder="1" applyAlignment="1">
      <alignment horizontal="center" vertical="center" shrinkToFit="1"/>
    </xf>
    <xf numFmtId="0" fontId="92" fillId="0" borderId="13" xfId="0" applyFont="1" applyBorder="1" applyAlignment="1">
      <alignment horizontal="center" vertical="center" shrinkToFit="1"/>
    </xf>
    <xf numFmtId="38" fontId="32" fillId="5" borderId="9" xfId="0" applyNumberFormat="1" applyFont="1" applyFill="1" applyBorder="1" applyAlignment="1">
      <alignment horizontal="center" vertical="center" shrinkToFit="1"/>
    </xf>
    <xf numFmtId="38" fontId="32" fillId="5" borderId="6" xfId="0" applyNumberFormat="1" applyFont="1" applyFill="1" applyBorder="1" applyAlignment="1">
      <alignment horizontal="center" vertical="center" shrinkToFit="1"/>
    </xf>
    <xf numFmtId="38" fontId="32" fillId="5" borderId="50" xfId="0" applyNumberFormat="1" applyFont="1" applyFill="1" applyBorder="1" applyAlignment="1">
      <alignment horizontal="center" vertical="center" shrinkToFit="1"/>
    </xf>
    <xf numFmtId="38" fontId="32" fillId="5" borderId="11" xfId="0" applyNumberFormat="1" applyFont="1" applyFill="1" applyBorder="1" applyAlignment="1">
      <alignment horizontal="center" vertical="center" shrinkToFit="1"/>
    </xf>
    <xf numFmtId="38" fontId="32" fillId="5" borderId="0" xfId="0" applyNumberFormat="1" applyFont="1" applyFill="1" applyAlignment="1">
      <alignment horizontal="center" vertical="center" shrinkToFit="1"/>
    </xf>
    <xf numFmtId="38" fontId="32" fillId="5" borderId="8" xfId="0" applyNumberFormat="1" applyFont="1" applyFill="1" applyBorder="1" applyAlignment="1">
      <alignment horizontal="center" vertical="center" shrinkToFit="1"/>
    </xf>
    <xf numFmtId="38" fontId="32" fillId="5" borderId="5" xfId="0" applyNumberFormat="1" applyFont="1" applyFill="1" applyBorder="1" applyAlignment="1">
      <alignment horizontal="center" vertical="center" shrinkToFit="1"/>
    </xf>
    <xf numFmtId="38" fontId="32" fillId="5" borderId="12" xfId="0" applyNumberFormat="1" applyFont="1" applyFill="1" applyBorder="1" applyAlignment="1">
      <alignment horizontal="center" vertical="center" shrinkToFit="1"/>
    </xf>
    <xf numFmtId="38" fontId="32" fillId="5" borderId="13" xfId="0" applyNumberFormat="1" applyFont="1" applyFill="1" applyBorder="1" applyAlignment="1">
      <alignment horizontal="center" vertical="center" shrinkToFit="1"/>
    </xf>
    <xf numFmtId="3" fontId="97" fillId="0" borderId="46" xfId="0" applyNumberFormat="1" applyFont="1" applyBorder="1" applyAlignment="1">
      <alignment horizontal="center" vertical="center" shrinkToFit="1"/>
    </xf>
    <xf numFmtId="0" fontId="97" fillId="0" borderId="46" xfId="0" applyFont="1" applyBorder="1" applyAlignment="1">
      <alignment horizontal="center" vertical="center" shrinkToFit="1"/>
    </xf>
    <xf numFmtId="38" fontId="97" fillId="5" borderId="46" xfId="2" applyFont="1" applyFill="1" applyBorder="1" applyAlignment="1" applyProtection="1">
      <alignment horizontal="center" vertical="center" shrinkToFit="1"/>
    </xf>
    <xf numFmtId="38" fontId="94" fillId="5" borderId="47" xfId="0" applyNumberFormat="1" applyFont="1" applyFill="1" applyBorder="1" applyAlignment="1">
      <alignment horizontal="center" vertical="center" shrinkToFit="1"/>
    </xf>
    <xf numFmtId="0" fontId="94" fillId="5" borderId="48" xfId="0" applyFont="1" applyFill="1" applyBorder="1" applyAlignment="1">
      <alignment horizontal="center" vertical="center" shrinkToFit="1"/>
    </xf>
    <xf numFmtId="0" fontId="94" fillId="5" borderId="49" xfId="0" applyFont="1" applyFill="1" applyBorder="1" applyAlignment="1">
      <alignment horizontal="center" vertical="center" shrinkToFit="1"/>
    </xf>
    <xf numFmtId="0" fontId="39" fillId="8" borderId="51" xfId="0" applyFont="1" applyFill="1" applyBorder="1" applyAlignment="1">
      <alignment horizontal="center" vertical="center" wrapText="1"/>
    </xf>
    <xf numFmtId="0" fontId="39" fillId="8" borderId="7" xfId="0" applyFont="1" applyFill="1" applyBorder="1" applyAlignment="1">
      <alignment horizontal="center" vertical="center" wrapText="1"/>
    </xf>
    <xf numFmtId="38" fontId="19" fillId="5" borderId="85" xfId="2" applyFont="1" applyFill="1" applyBorder="1" applyAlignment="1" applyProtection="1">
      <alignment horizontal="center" vertical="center" shrinkToFit="1"/>
    </xf>
    <xf numFmtId="38" fontId="94" fillId="5" borderId="47" xfId="2" applyFont="1" applyFill="1" applyBorder="1" applyAlignment="1" applyProtection="1">
      <alignment horizontal="center" vertical="center" shrinkToFit="1"/>
    </xf>
    <xf numFmtId="0" fontId="94" fillId="0" borderId="49" xfId="0" applyFont="1" applyBorder="1" applyAlignment="1">
      <alignment horizontal="center" vertical="center" shrinkToFit="1"/>
    </xf>
    <xf numFmtId="38" fontId="94" fillId="0" borderId="47" xfId="2" applyFont="1" applyFill="1" applyBorder="1" applyAlignment="1" applyProtection="1">
      <alignment horizontal="center" vertical="center" shrinkToFit="1"/>
    </xf>
    <xf numFmtId="38" fontId="94" fillId="0" borderId="48" xfId="2" applyFont="1" applyFill="1" applyBorder="1" applyAlignment="1" applyProtection="1">
      <alignment horizontal="center" vertical="center" shrinkToFit="1"/>
    </xf>
    <xf numFmtId="38" fontId="94" fillId="0" borderId="49" xfId="2" applyFont="1" applyFill="1" applyBorder="1" applyAlignment="1" applyProtection="1">
      <alignment horizontal="center" vertical="center" shrinkToFit="1"/>
    </xf>
    <xf numFmtId="0" fontId="94" fillId="0" borderId="48" xfId="0" applyFont="1" applyBorder="1" applyAlignment="1">
      <alignment horizontal="center" vertical="center" shrinkToFit="1"/>
    </xf>
    <xf numFmtId="0" fontId="19" fillId="0" borderId="48" xfId="0" applyFont="1" applyBorder="1" applyAlignment="1">
      <alignment horizontal="center" vertical="center" shrinkToFit="1"/>
    </xf>
    <xf numFmtId="38" fontId="97" fillId="5" borderId="9" xfId="0" applyNumberFormat="1" applyFont="1" applyFill="1" applyBorder="1" applyAlignment="1">
      <alignment horizontal="center" vertical="center" shrinkToFit="1"/>
    </xf>
    <xf numFmtId="38" fontId="97" fillId="5" borderId="6" xfId="0" applyNumberFormat="1" applyFont="1" applyFill="1" applyBorder="1" applyAlignment="1">
      <alignment horizontal="center" vertical="center" shrinkToFit="1"/>
    </xf>
    <xf numFmtId="38" fontId="97" fillId="5" borderId="50" xfId="0" applyNumberFormat="1" applyFont="1" applyFill="1" applyBorder="1" applyAlignment="1">
      <alignment horizontal="center" vertical="center" shrinkToFit="1"/>
    </xf>
    <xf numFmtId="38" fontId="97" fillId="5" borderId="5" xfId="0" applyNumberFormat="1" applyFont="1" applyFill="1" applyBorder="1" applyAlignment="1">
      <alignment horizontal="center" vertical="center" shrinkToFit="1"/>
    </xf>
    <xf numFmtId="38" fontId="97" fillId="5" borderId="12" xfId="0" applyNumberFormat="1" applyFont="1" applyFill="1" applyBorder="1" applyAlignment="1">
      <alignment horizontal="center" vertical="center" shrinkToFit="1"/>
    </xf>
    <xf numFmtId="38" fontId="97" fillId="5" borderId="13" xfId="0" applyNumberFormat="1" applyFont="1" applyFill="1" applyBorder="1" applyAlignment="1">
      <alignment horizontal="center" vertical="center" shrinkToFit="1"/>
    </xf>
    <xf numFmtId="0" fontId="45" fillId="0" borderId="46" xfId="0" applyFont="1" applyBorder="1" applyAlignment="1">
      <alignment horizontal="left" vertical="center"/>
    </xf>
    <xf numFmtId="38" fontId="97"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38" fontId="19" fillId="0" borderId="49" xfId="2" applyFont="1" applyFill="1" applyBorder="1" applyAlignment="1" applyProtection="1">
      <alignment horizontal="center" vertical="center" shrinkToFit="1"/>
    </xf>
    <xf numFmtId="0" fontId="0" fillId="0" borderId="6" xfId="0" applyBorder="1" applyAlignment="1">
      <alignment horizontal="center" vertical="center"/>
    </xf>
    <xf numFmtId="0" fontId="0" fillId="0" borderId="50"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9" fillId="8" borderId="5" xfId="0" applyFont="1" applyFill="1" applyBorder="1" applyAlignment="1">
      <alignment horizontal="center" vertical="center"/>
    </xf>
    <xf numFmtId="0" fontId="39" fillId="8" borderId="12" xfId="0" applyFont="1" applyFill="1" applyBorder="1" applyAlignment="1">
      <alignment horizontal="center" vertical="center"/>
    </xf>
    <xf numFmtId="0" fontId="39" fillId="8" borderId="13" xfId="0" applyFont="1" applyFill="1" applyBorder="1" applyAlignment="1">
      <alignment horizontal="center" vertical="center"/>
    </xf>
    <xf numFmtId="0" fontId="39" fillId="8" borderId="46" xfId="0" applyFont="1" applyFill="1" applyBorder="1" applyAlignment="1">
      <alignment horizontal="center" vertical="center" wrapText="1"/>
    </xf>
    <xf numFmtId="0" fontId="9" fillId="8" borderId="47" xfId="14" applyFont="1" applyFill="1" applyBorder="1" applyAlignment="1">
      <alignment horizontal="center" vertical="center" wrapText="1"/>
    </xf>
    <xf numFmtId="0" fontId="87" fillId="7" borderId="46" xfId="0" applyFont="1" applyFill="1" applyBorder="1" applyAlignment="1">
      <alignment horizontal="left" vertical="center" wrapText="1"/>
    </xf>
    <xf numFmtId="0" fontId="92" fillId="7" borderId="46" xfId="0" applyFont="1" applyFill="1" applyBorder="1" applyAlignment="1">
      <alignment horizontal="left" vertical="center" wrapText="1"/>
    </xf>
    <xf numFmtId="0" fontId="87" fillId="23" borderId="46" xfId="14" applyFont="1" applyFill="1" applyBorder="1" applyAlignment="1">
      <alignment horizontal="center" vertical="center" wrapText="1"/>
    </xf>
    <xf numFmtId="0" fontId="87" fillId="23" borderId="46" xfId="0" applyFont="1" applyFill="1" applyBorder="1" applyAlignment="1">
      <alignment horizontal="center" vertical="center" wrapText="1"/>
    </xf>
    <xf numFmtId="0" fontId="41" fillId="8" borderId="46" xfId="14" applyFont="1" applyFill="1" applyBorder="1" applyAlignment="1">
      <alignment horizontal="center" vertical="center"/>
    </xf>
    <xf numFmtId="0" fontId="41" fillId="8" borderId="27" xfId="14" applyFont="1" applyFill="1" applyBorder="1" applyAlignment="1">
      <alignment horizontal="center" vertical="center"/>
    </xf>
    <xf numFmtId="0" fontId="42" fillId="8" borderId="46" xfId="0" applyFont="1" applyFill="1" applyBorder="1" applyAlignment="1">
      <alignment horizontal="center" vertical="center" wrapText="1"/>
    </xf>
    <xf numFmtId="0" fontId="42" fillId="8" borderId="66" xfId="0" applyFont="1" applyFill="1" applyBorder="1" applyAlignment="1">
      <alignment horizontal="center" vertical="center" wrapText="1"/>
    </xf>
    <xf numFmtId="0" fontId="42" fillId="8" borderId="27" xfId="0" applyFont="1" applyFill="1" applyBorder="1" applyAlignment="1">
      <alignment horizontal="center" vertical="center" wrapText="1"/>
    </xf>
    <xf numFmtId="0" fontId="42" fillId="8" borderId="28" xfId="0" applyFont="1" applyFill="1" applyBorder="1" applyAlignment="1">
      <alignment horizontal="center" vertical="center" wrapText="1"/>
    </xf>
    <xf numFmtId="38" fontId="19" fillId="5" borderId="46" xfId="2" applyFont="1" applyFill="1" applyBorder="1" applyAlignment="1" applyProtection="1">
      <alignment horizontal="center" vertical="center" shrinkToFit="1"/>
    </xf>
    <xf numFmtId="0" fontId="41" fillId="0" borderId="11" xfId="14" applyFont="1" applyBorder="1" applyAlignment="1">
      <alignment horizontal="center" vertical="center"/>
    </xf>
    <xf numFmtId="0" fontId="41" fillId="0" borderId="0" xfId="14" applyFont="1" applyAlignment="1">
      <alignment horizontal="center" vertical="center"/>
    </xf>
    <xf numFmtId="0" fontId="43" fillId="5" borderId="74" xfId="0" applyFont="1" applyFill="1" applyBorder="1" applyAlignment="1">
      <alignment horizontal="center" vertical="center" wrapText="1"/>
    </xf>
    <xf numFmtId="0" fontId="43" fillId="5" borderId="75" xfId="0" applyFont="1" applyFill="1" applyBorder="1" applyAlignment="1">
      <alignment horizontal="center" vertical="center" wrapText="1"/>
    </xf>
    <xf numFmtId="0" fontId="38" fillId="5" borderId="70" xfId="0" applyFont="1" applyFill="1" applyBorder="1" applyAlignment="1">
      <alignment horizontal="center" vertical="center" wrapText="1"/>
    </xf>
    <xf numFmtId="0" fontId="38" fillId="5" borderId="72" xfId="0" applyFont="1" applyFill="1" applyBorder="1" applyAlignment="1">
      <alignment horizontal="center" vertical="center" wrapText="1"/>
    </xf>
    <xf numFmtId="0" fontId="59" fillId="0" borderId="38" xfId="14" applyFont="1" applyBorder="1" applyAlignment="1">
      <alignment horizontal="center" vertical="center" shrinkToFit="1"/>
    </xf>
    <xf numFmtId="0" fontId="59" fillId="0" borderId="91" xfId="14" applyFont="1" applyBorder="1" applyAlignment="1">
      <alignment horizontal="center" vertical="center" shrinkToFit="1"/>
    </xf>
    <xf numFmtId="38" fontId="95" fillId="5" borderId="92" xfId="0" applyNumberFormat="1" applyFont="1" applyFill="1" applyBorder="1" applyAlignment="1">
      <alignment horizontal="right" vertical="center" shrinkToFit="1"/>
    </xf>
    <xf numFmtId="0" fontId="95" fillId="5" borderId="93" xfId="0" applyFont="1" applyFill="1" applyBorder="1" applyAlignment="1">
      <alignment horizontal="right" vertical="center" shrinkToFit="1"/>
    </xf>
    <xf numFmtId="0" fontId="45" fillId="23" borderId="46" xfId="0" applyFont="1" applyFill="1" applyBorder="1" applyAlignment="1">
      <alignment horizontal="left" vertical="center" wrapText="1"/>
    </xf>
    <xf numFmtId="0" fontId="45" fillId="23" borderId="46" xfId="0" applyFont="1" applyFill="1" applyBorder="1" applyAlignment="1">
      <alignment horizontal="left" vertical="center"/>
    </xf>
    <xf numFmtId="0" fontId="44" fillId="8" borderId="46" xfId="14" applyFont="1" applyFill="1" applyBorder="1" applyAlignment="1">
      <alignment horizontal="center" vertical="center"/>
    </xf>
    <xf numFmtId="0" fontId="45" fillId="8" borderId="46" xfId="0" applyFont="1" applyFill="1" applyBorder="1" applyAlignment="1">
      <alignment horizontal="center" vertical="center"/>
    </xf>
    <xf numFmtId="0" fontId="44" fillId="8" borderId="46" xfId="14" applyFont="1" applyFill="1" applyBorder="1" applyAlignment="1">
      <alignment horizontal="left" vertical="center"/>
    </xf>
    <xf numFmtId="0" fontId="8" fillId="0" borderId="0" xfId="0" applyFont="1" applyAlignment="1">
      <alignment horizontal="center" vertical="center"/>
    </xf>
    <xf numFmtId="0" fontId="51"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87" fillId="23" borderId="47" xfId="0" applyFont="1" applyFill="1" applyBorder="1" applyAlignment="1">
      <alignment horizontal="left" vertical="center" wrapText="1"/>
    </xf>
    <xf numFmtId="0" fontId="87" fillId="23" borderId="48" xfId="0" applyFont="1" applyFill="1" applyBorder="1" applyAlignment="1">
      <alignment horizontal="left" vertical="center" wrapText="1"/>
    </xf>
    <xf numFmtId="0" fontId="93" fillId="23" borderId="48" xfId="0" applyFont="1" applyFill="1" applyBorder="1" applyAlignment="1">
      <alignment horizontal="left" vertical="center" wrapText="1"/>
    </xf>
    <xf numFmtId="0" fontId="93" fillId="23" borderId="49" xfId="0" applyFont="1" applyFill="1" applyBorder="1" applyAlignment="1">
      <alignment horizontal="left" vertical="center" wrapText="1"/>
    </xf>
    <xf numFmtId="0" fontId="87" fillId="23" borderId="47" xfId="14" applyFont="1" applyFill="1" applyBorder="1" applyAlignment="1">
      <alignment horizontal="center" vertical="center" wrapText="1"/>
    </xf>
    <xf numFmtId="0" fontId="87" fillId="23" borderId="48" xfId="14" applyFont="1" applyFill="1" applyBorder="1" applyAlignment="1">
      <alignment horizontal="center" vertical="center" wrapText="1"/>
    </xf>
    <xf numFmtId="0" fontId="87" fillId="23" borderId="48" xfId="0" applyFont="1" applyFill="1" applyBorder="1" applyAlignment="1">
      <alignment horizontal="center" vertical="center" wrapText="1"/>
    </xf>
    <xf numFmtId="0" fontId="87" fillId="23" borderId="49" xfId="0" applyFont="1" applyFill="1" applyBorder="1" applyAlignment="1">
      <alignment horizontal="center" vertical="center" wrapText="1"/>
    </xf>
    <xf numFmtId="0" fontId="8" fillId="0" borderId="0" xfId="14" applyFont="1" applyAlignment="1">
      <alignment horizontal="left" vertical="center" wrapText="1"/>
    </xf>
    <xf numFmtId="0" fontId="44" fillId="2" borderId="46" xfId="14" applyFont="1" applyFill="1" applyBorder="1" applyAlignment="1">
      <alignment horizontal="center" vertical="center"/>
    </xf>
    <xf numFmtId="0" fontId="45" fillId="2" borderId="46" xfId="0" applyFont="1" applyFill="1" applyBorder="1" applyAlignment="1">
      <alignment horizontal="center" vertical="center"/>
    </xf>
    <xf numFmtId="0" fontId="44" fillId="0" borderId="46" xfId="14" applyFont="1" applyBorder="1" applyAlignment="1">
      <alignment horizontal="left" vertical="top"/>
    </xf>
    <xf numFmtId="0" fontId="39" fillId="3" borderId="47" xfId="0" applyFont="1" applyFill="1" applyBorder="1" applyAlignment="1">
      <alignment horizontal="left" vertical="center" shrinkToFit="1"/>
    </xf>
    <xf numFmtId="0" fontId="0" fillId="3" borderId="48" xfId="0" applyFill="1" applyBorder="1" applyAlignment="1">
      <alignment horizontal="left" vertical="center" shrinkToFit="1"/>
    </xf>
    <xf numFmtId="0" fontId="44" fillId="0" borderId="0" xfId="14" applyFont="1" applyAlignment="1">
      <alignment horizontal="left" vertical="center" wrapText="1"/>
    </xf>
    <xf numFmtId="0" fontId="44" fillId="0" borderId="6" xfId="14" applyFont="1" applyBorder="1" applyAlignment="1">
      <alignment horizontal="left" vertical="center" wrapText="1"/>
    </xf>
    <xf numFmtId="0" fontId="89" fillId="10" borderId="9" xfId="0" applyFont="1" applyFill="1" applyBorder="1" applyAlignment="1">
      <alignment horizontal="left" vertical="top" wrapText="1"/>
    </xf>
    <xf numFmtId="0" fontId="89" fillId="10" borderId="6" xfId="0" applyFont="1" applyFill="1" applyBorder="1" applyAlignment="1">
      <alignment horizontal="left" vertical="top" wrapText="1"/>
    </xf>
    <xf numFmtId="0" fontId="89" fillId="10" borderId="50" xfId="0" applyFont="1" applyFill="1" applyBorder="1" applyAlignment="1">
      <alignment horizontal="left" vertical="top" wrapText="1"/>
    </xf>
    <xf numFmtId="0" fontId="89" fillId="10" borderId="11" xfId="0" applyFont="1" applyFill="1" applyBorder="1" applyAlignment="1">
      <alignment horizontal="left" vertical="top" wrapText="1"/>
    </xf>
    <xf numFmtId="0" fontId="89" fillId="10" borderId="0" xfId="0" applyFont="1" applyFill="1" applyAlignment="1">
      <alignment horizontal="left" vertical="top" wrapText="1"/>
    </xf>
    <xf numFmtId="0" fontId="89" fillId="10" borderId="8" xfId="0" applyFont="1" applyFill="1" applyBorder="1" applyAlignment="1">
      <alignment horizontal="left" vertical="top" wrapText="1"/>
    </xf>
    <xf numFmtId="0" fontId="89" fillId="10" borderId="5" xfId="0" applyFont="1" applyFill="1" applyBorder="1" applyAlignment="1">
      <alignment horizontal="left" vertical="top" wrapText="1"/>
    </xf>
    <xf numFmtId="0" fontId="89" fillId="10" borderId="12" xfId="0" applyFont="1" applyFill="1" applyBorder="1" applyAlignment="1">
      <alignment horizontal="left" vertical="top" wrapText="1"/>
    </xf>
    <xf numFmtId="0" fontId="89" fillId="10" borderId="13" xfId="0" applyFont="1" applyFill="1" applyBorder="1" applyAlignment="1">
      <alignment horizontal="left" vertical="top" wrapText="1"/>
    </xf>
    <xf numFmtId="0" fontId="39" fillId="23" borderId="49" xfId="0" applyFont="1" applyFill="1" applyBorder="1" applyAlignment="1">
      <alignment horizontal="left" vertical="top" wrapText="1"/>
    </xf>
    <xf numFmtId="0" fontId="39" fillId="23" borderId="46" xfId="0" applyFont="1" applyFill="1" applyBorder="1" applyAlignment="1">
      <alignment horizontal="left" vertical="top" wrapText="1"/>
    </xf>
    <xf numFmtId="0" fontId="40" fillId="7" borderId="49" xfId="14" applyFont="1" applyFill="1" applyBorder="1" applyAlignment="1">
      <alignment horizontal="center" vertical="center"/>
    </xf>
    <xf numFmtId="0" fontId="0" fillId="23" borderId="48" xfId="0" applyFill="1" applyBorder="1" applyAlignment="1">
      <alignment horizontal="center" vertical="center" shrinkToFit="1"/>
    </xf>
    <xf numFmtId="0" fontId="44" fillId="2" borderId="47" xfId="14" applyFont="1" applyFill="1" applyBorder="1" applyAlignment="1">
      <alignment horizontal="left" vertical="center" wrapText="1"/>
    </xf>
    <xf numFmtId="0" fontId="44" fillId="2" borderId="48" xfId="0" applyFont="1" applyFill="1" applyBorder="1" applyAlignment="1">
      <alignment horizontal="left" vertical="center" wrapText="1"/>
    </xf>
    <xf numFmtId="0" fontId="44" fillId="2" borderId="46" xfId="0" applyFont="1" applyFill="1" applyBorder="1" applyAlignment="1">
      <alignment horizontal="left" vertical="center" wrapText="1"/>
    </xf>
    <xf numFmtId="0" fontId="44" fillId="2" borderId="47" xfId="0" applyFont="1" applyFill="1" applyBorder="1" applyAlignment="1">
      <alignment horizontal="left" vertical="center" wrapText="1"/>
    </xf>
    <xf numFmtId="0" fontId="44" fillId="2" borderId="49" xfId="0" applyFont="1" applyFill="1" applyBorder="1" applyAlignment="1">
      <alignment horizontal="left" vertical="center" wrapText="1"/>
    </xf>
    <xf numFmtId="0" fontId="94" fillId="5" borderId="47" xfId="14" applyFont="1" applyFill="1" applyBorder="1" applyAlignment="1">
      <alignment horizontal="center" vertical="center" wrapText="1"/>
    </xf>
    <xf numFmtId="0" fontId="94" fillId="5" borderId="48" xfId="0" applyFont="1" applyFill="1" applyBorder="1" applyAlignment="1">
      <alignment horizontal="center" vertical="center" wrapText="1"/>
    </xf>
    <xf numFmtId="0" fontId="94" fillId="5" borderId="46" xfId="0" applyFont="1" applyFill="1" applyBorder="1" applyAlignment="1">
      <alignment horizontal="center" vertical="center" wrapText="1"/>
    </xf>
    <xf numFmtId="191" fontId="94" fillId="5" borderId="47" xfId="1" applyNumberFormat="1" applyFont="1" applyFill="1" applyBorder="1" applyAlignment="1" applyProtection="1">
      <alignment horizontal="center" vertical="center" wrapText="1"/>
    </xf>
    <xf numFmtId="191" fontId="94" fillId="5" borderId="48" xfId="1" applyNumberFormat="1" applyFont="1" applyFill="1" applyBorder="1" applyAlignment="1" applyProtection="1">
      <alignment horizontal="center" vertical="center" wrapText="1"/>
    </xf>
    <xf numFmtId="191" fontId="94" fillId="5" borderId="49" xfId="1" applyNumberFormat="1" applyFont="1" applyFill="1" applyBorder="1" applyAlignment="1" applyProtection="1">
      <alignment horizontal="center" vertical="center" wrapText="1"/>
    </xf>
    <xf numFmtId="0" fontId="51" fillId="2" borderId="46" xfId="14" applyFont="1" applyFill="1" applyBorder="1" applyAlignment="1">
      <alignment horizontal="center" vertical="center" wrapText="1"/>
    </xf>
    <xf numFmtId="0" fontId="51" fillId="2" borderId="46" xfId="0" applyFont="1" applyFill="1" applyBorder="1" applyAlignment="1">
      <alignment horizontal="center" vertical="center" wrapText="1"/>
    </xf>
    <xf numFmtId="0" fontId="51" fillId="2" borderId="46" xfId="14" applyFont="1" applyFill="1" applyBorder="1" applyAlignment="1">
      <alignment horizontal="left" vertical="center" wrapText="1"/>
    </xf>
    <xf numFmtId="0" fontId="51" fillId="2" borderId="46" xfId="0" applyFont="1" applyFill="1" applyBorder="1" applyAlignment="1">
      <alignment horizontal="left" vertical="center" wrapText="1"/>
    </xf>
    <xf numFmtId="0" fontId="22" fillId="0" borderId="0" xfId="14" applyFont="1" applyAlignment="1">
      <alignment horizontal="left" vertical="center" wrapText="1"/>
    </xf>
    <xf numFmtId="0" fontId="53" fillId="0" borderId="0" xfId="0" applyFont="1" applyAlignment="1">
      <alignment horizontal="left" vertical="center" wrapText="1"/>
    </xf>
    <xf numFmtId="0" fontId="51"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61" fillId="10" borderId="47" xfId="0" applyFont="1" applyFill="1" applyBorder="1" applyAlignment="1">
      <alignment horizontal="center" vertical="center"/>
    </xf>
    <xf numFmtId="0" fontId="61" fillId="10" borderId="48" xfId="0" applyFont="1" applyFill="1" applyBorder="1" applyAlignment="1">
      <alignment horizontal="center" vertical="center"/>
    </xf>
    <xf numFmtId="0" fontId="61" fillId="10" borderId="49" xfId="0" applyFont="1" applyFill="1" applyBorder="1" applyAlignment="1">
      <alignment horizontal="center" vertical="center"/>
    </xf>
    <xf numFmtId="0" fontId="9" fillId="8" borderId="46" xfId="14" applyFont="1" applyFill="1" applyBorder="1" applyAlignment="1">
      <alignment horizontal="left" vertical="center"/>
    </xf>
    <xf numFmtId="0" fontId="163" fillId="26" borderId="0" xfId="0" applyFont="1" applyFill="1" applyAlignment="1" applyProtection="1">
      <alignment horizontal="left" vertical="top" wrapText="1"/>
      <protection locked="0"/>
    </xf>
    <xf numFmtId="0" fontId="28" fillId="4" borderId="18"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22" xfId="0" applyFont="1" applyFill="1" applyBorder="1" applyAlignment="1">
      <alignment horizontal="center" vertical="center"/>
    </xf>
    <xf numFmtId="0" fontId="28" fillId="4" borderId="83" xfId="0" applyFont="1" applyFill="1" applyBorder="1" applyAlignment="1">
      <alignment horizontal="center" vertical="center"/>
    </xf>
    <xf numFmtId="0" fontId="28" fillId="4" borderId="19" xfId="0" applyFont="1" applyFill="1" applyBorder="1" applyAlignment="1">
      <alignment horizontal="center" vertical="center"/>
    </xf>
    <xf numFmtId="0" fontId="28" fillId="4" borderId="17" xfId="0" applyFont="1" applyFill="1" applyBorder="1" applyAlignment="1">
      <alignment horizontal="center" vertical="center"/>
    </xf>
    <xf numFmtId="0" fontId="140" fillId="4" borderId="224" xfId="0" applyFont="1" applyFill="1" applyBorder="1" applyAlignment="1">
      <alignment horizontal="center" vertical="center" wrapText="1"/>
    </xf>
    <xf numFmtId="0" fontId="140" fillId="4" borderId="225" xfId="0" applyFont="1" applyFill="1" applyBorder="1" applyAlignment="1">
      <alignment horizontal="center" vertical="center" wrapText="1"/>
    </xf>
    <xf numFmtId="0" fontId="140" fillId="4" borderId="226" xfId="0" applyFont="1" applyFill="1" applyBorder="1" applyAlignment="1">
      <alignment horizontal="center" vertical="center"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105" xfId="0" applyFont="1" applyBorder="1" applyAlignment="1">
      <alignment horizontal="left" vertical="top" wrapText="1"/>
    </xf>
    <xf numFmtId="0" fontId="9" fillId="0" borderId="104" xfId="0" applyFont="1" applyBorder="1" applyAlignment="1">
      <alignment horizontal="left" vertical="top" wrapText="1"/>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91" xfId="0" applyFont="1" applyBorder="1" applyAlignment="1">
      <alignment horizontal="left" vertical="center"/>
    </xf>
    <xf numFmtId="0" fontId="8" fillId="0" borderId="40" xfId="0" applyFont="1" applyBorder="1" applyAlignment="1">
      <alignment horizontal="left" vertical="center"/>
    </xf>
    <xf numFmtId="0" fontId="8" fillId="0" borderId="88" xfId="0" applyFont="1" applyBorder="1" applyAlignment="1">
      <alignment horizontal="left" vertical="center"/>
    </xf>
    <xf numFmtId="0" fontId="8" fillId="0" borderId="55" xfId="0" applyFont="1" applyBorder="1" applyAlignment="1">
      <alignment horizontal="left" vertical="center"/>
    </xf>
    <xf numFmtId="0" fontId="8" fillId="0" borderId="18" xfId="0" applyFont="1" applyBorder="1" applyAlignment="1">
      <alignment horizontal="left" vertical="top" wrapText="1"/>
    </xf>
    <xf numFmtId="0" fontId="8" fillId="0" borderId="21" xfId="0" applyFont="1" applyBorder="1" applyAlignment="1">
      <alignment horizontal="left" vertical="top"/>
    </xf>
    <xf numFmtId="0" fontId="8" fillId="0" borderId="108" xfId="0" applyFont="1" applyBorder="1" applyAlignment="1">
      <alignment horizontal="left" vertical="top"/>
    </xf>
    <xf numFmtId="0" fontId="8" fillId="0" borderId="73" xfId="0" applyFont="1" applyBorder="1" applyAlignment="1">
      <alignment horizontal="left" vertical="top"/>
    </xf>
    <xf numFmtId="0" fontId="8" fillId="0" borderId="0" xfId="0" applyFont="1" applyAlignment="1">
      <alignment horizontal="left" vertical="top"/>
    </xf>
    <xf numFmtId="0" fontId="8" fillId="0" borderId="8" xfId="0" applyFont="1" applyBorder="1" applyAlignment="1">
      <alignment horizontal="left" vertical="top"/>
    </xf>
    <xf numFmtId="0" fontId="8" fillId="0" borderId="64"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16"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9" fillId="0" borderId="18" xfId="0" applyFont="1" applyBorder="1" applyAlignment="1">
      <alignment horizontal="left" vertical="top" wrapText="1"/>
    </xf>
    <xf numFmtId="0" fontId="9" fillId="0" borderId="21" xfId="0" applyFont="1" applyBorder="1" applyAlignment="1">
      <alignment horizontal="left" vertical="top" wrapText="1"/>
    </xf>
    <xf numFmtId="0" fontId="9" fillId="0" borderId="108" xfId="0" applyFont="1" applyBorder="1" applyAlignment="1">
      <alignment horizontal="left" vertical="top" wrapText="1"/>
    </xf>
    <xf numFmtId="0" fontId="9" fillId="0" borderId="83" xfId="0" applyFont="1" applyBorder="1" applyAlignment="1">
      <alignment horizontal="left" vertical="top" wrapText="1"/>
    </xf>
    <xf numFmtId="0" fontId="9" fillId="0" borderId="19" xfId="0" applyFont="1" applyBorder="1" applyAlignment="1">
      <alignment horizontal="left" vertical="top" wrapText="1"/>
    </xf>
    <xf numFmtId="0" fontId="9" fillId="0" borderId="109" xfId="0" applyFont="1" applyBorder="1" applyAlignment="1">
      <alignment horizontal="left" vertical="top" wrapText="1"/>
    </xf>
    <xf numFmtId="0" fontId="44" fillId="7" borderId="47" xfId="0" applyFont="1" applyFill="1" applyBorder="1" applyAlignment="1">
      <alignment horizontal="left" vertical="center"/>
    </xf>
    <xf numFmtId="0" fontId="4" fillId="0" borderId="49" xfId="0" applyFont="1" applyBorder="1">
      <alignment vertical="center"/>
    </xf>
    <xf numFmtId="0" fontId="44" fillId="0" borderId="46" xfId="0" applyFont="1" applyBorder="1" applyAlignment="1">
      <alignment horizontal="left" vertical="center" wrapText="1"/>
    </xf>
    <xf numFmtId="0" fontId="4" fillId="0" borderId="46" xfId="0" applyFont="1" applyBorder="1" applyAlignment="1">
      <alignment horizontal="left" vertical="center" wrapText="1"/>
    </xf>
    <xf numFmtId="0" fontId="8" fillId="7" borderId="51" xfId="0" applyFont="1" applyFill="1" applyBorder="1" applyAlignment="1">
      <alignment horizontal="center" vertical="center" shrinkToFit="1"/>
    </xf>
    <xf numFmtId="0" fontId="0" fillId="0" borderId="7" xfId="0" applyBorder="1" applyAlignment="1">
      <alignment horizontal="center" vertical="center"/>
    </xf>
    <xf numFmtId="0" fontId="159" fillId="12" borderId="53" xfId="0" applyFont="1" applyFill="1" applyBorder="1" applyAlignment="1">
      <alignment horizontal="center" vertical="center" shrinkToFit="1"/>
    </xf>
    <xf numFmtId="0" fontId="159" fillId="12" borderId="48" xfId="0" applyFont="1" applyFill="1" applyBorder="1" applyAlignment="1">
      <alignment horizontal="center" vertical="center" shrinkToFit="1"/>
    </xf>
    <xf numFmtId="0" fontId="159" fillId="12" borderId="196" xfId="0" applyFont="1" applyFill="1" applyBorder="1" applyAlignment="1">
      <alignment horizontal="center" vertical="center" shrinkToFit="1"/>
    </xf>
    <xf numFmtId="0" fontId="8" fillId="7" borderId="46" xfId="0" applyFont="1" applyFill="1" applyBorder="1" applyAlignment="1">
      <alignment horizontal="center" vertical="center" shrinkToFit="1"/>
    </xf>
    <xf numFmtId="0" fontId="0" fillId="0" borderId="46" xfId="0" applyBorder="1" applyAlignment="1">
      <alignment horizontal="center" vertical="center"/>
    </xf>
    <xf numFmtId="0" fontId="9" fillId="0" borderId="46" xfId="0" applyFont="1" applyBorder="1" applyAlignment="1">
      <alignment horizontal="center" vertical="center" wrapText="1"/>
    </xf>
    <xf numFmtId="0" fontId="38" fillId="7" borderId="46" xfId="0" applyFont="1" applyFill="1" applyBorder="1" applyAlignment="1">
      <alignment horizontal="center" vertical="center" wrapText="1"/>
    </xf>
    <xf numFmtId="0" fontId="38" fillId="7" borderId="46" xfId="0" applyFont="1" applyFill="1" applyBorder="1" applyAlignment="1">
      <alignment horizontal="left" vertical="center" wrapText="1"/>
    </xf>
    <xf numFmtId="0" fontId="8" fillId="23" borderId="47" xfId="0" applyFont="1" applyFill="1" applyBorder="1" applyAlignment="1">
      <alignment horizontal="center" vertical="center"/>
    </xf>
    <xf numFmtId="0" fontId="8" fillId="23" borderId="48" xfId="0" applyFont="1" applyFill="1" applyBorder="1" applyAlignment="1">
      <alignment horizontal="center" vertical="center"/>
    </xf>
    <xf numFmtId="0" fontId="8" fillId="23" borderId="49" xfId="0" applyFont="1" applyFill="1" applyBorder="1" applyAlignment="1">
      <alignment horizontal="center" vertical="center"/>
    </xf>
    <xf numFmtId="0" fontId="8" fillId="23" borderId="9" xfId="0" applyFont="1" applyFill="1" applyBorder="1" applyAlignment="1">
      <alignment horizontal="center" vertical="center"/>
    </xf>
    <xf numFmtId="0" fontId="8" fillId="23" borderId="6" xfId="0" applyFont="1" applyFill="1" applyBorder="1" applyAlignment="1">
      <alignment horizontal="center" vertical="center"/>
    </xf>
    <xf numFmtId="0" fontId="8" fillId="23" borderId="50" xfId="0" applyFont="1" applyFill="1" applyBorder="1" applyAlignment="1">
      <alignment horizontal="center" vertical="center"/>
    </xf>
    <xf numFmtId="0" fontId="8" fillId="23" borderId="11" xfId="0" applyFont="1" applyFill="1" applyBorder="1" applyAlignment="1">
      <alignment horizontal="center" vertical="center"/>
    </xf>
    <xf numFmtId="0" fontId="8" fillId="23" borderId="0" xfId="0" applyFont="1" applyFill="1" applyAlignment="1">
      <alignment horizontal="center" vertical="center"/>
    </xf>
    <xf numFmtId="0" fontId="8" fillId="23" borderId="8" xfId="0" applyFont="1" applyFill="1" applyBorder="1" applyAlignment="1">
      <alignment horizontal="center" vertical="center"/>
    </xf>
    <xf numFmtId="0" fontId="8" fillId="23" borderId="5" xfId="0" applyFont="1" applyFill="1" applyBorder="1" applyAlignment="1">
      <alignment horizontal="center" vertical="center"/>
    </xf>
    <xf numFmtId="0" fontId="8" fillId="23" borderId="12" xfId="0" applyFont="1" applyFill="1" applyBorder="1" applyAlignment="1">
      <alignment horizontal="center" vertical="center"/>
    </xf>
    <xf numFmtId="0" fontId="8" fillId="23" borderId="13" xfId="0" applyFont="1" applyFill="1" applyBorder="1" applyAlignment="1">
      <alignment horizontal="center" vertical="center"/>
    </xf>
    <xf numFmtId="0" fontId="8" fillId="0" borderId="46" xfId="0" applyFont="1" applyBorder="1" applyAlignment="1">
      <alignment horizontal="center" vertical="center"/>
    </xf>
    <xf numFmtId="0" fontId="8" fillId="23" borderId="46" xfId="0" applyFont="1" applyFill="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46"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50" xfId="0" applyFont="1" applyBorder="1" applyAlignment="1">
      <alignment horizontal="center" vertical="center"/>
    </xf>
    <xf numFmtId="0" fontId="9" fillId="0" borderId="9" xfId="0" applyFont="1" applyBorder="1" applyAlignment="1">
      <alignment horizontal="center" vertical="center" wrapText="1"/>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23" borderId="46" xfId="0" applyFont="1" applyFill="1" applyBorder="1" applyAlignment="1">
      <alignment horizontal="right" vertical="center"/>
    </xf>
    <xf numFmtId="0" fontId="9" fillId="23" borderId="9" xfId="0" applyFont="1" applyFill="1" applyBorder="1" applyAlignment="1">
      <alignment horizontal="center" vertical="center"/>
    </xf>
    <xf numFmtId="0" fontId="9" fillId="23" borderId="6" xfId="0" applyFont="1" applyFill="1" applyBorder="1" applyAlignment="1">
      <alignment horizontal="center" vertical="center"/>
    </xf>
    <xf numFmtId="0" fontId="9" fillId="23" borderId="50" xfId="0" applyFont="1" applyFill="1" applyBorder="1" applyAlignment="1">
      <alignment horizontal="center" vertical="center"/>
    </xf>
    <xf numFmtId="0" fontId="9" fillId="23" borderId="5" xfId="0" applyFont="1" applyFill="1" applyBorder="1" applyAlignment="1">
      <alignment horizontal="center" vertical="center"/>
    </xf>
    <xf numFmtId="0" fontId="9" fillId="23" borderId="12" xfId="0" applyFont="1" applyFill="1" applyBorder="1" applyAlignment="1">
      <alignment horizontal="center" vertical="center"/>
    </xf>
    <xf numFmtId="0" fontId="9" fillId="23" borderId="13" xfId="0" applyFont="1" applyFill="1" applyBorder="1" applyAlignment="1">
      <alignment horizontal="center" vertical="center"/>
    </xf>
    <xf numFmtId="0" fontId="9" fillId="23" borderId="46" xfId="0" applyFont="1" applyFill="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167" fillId="3" borderId="12" xfId="25" applyFill="1" applyBorder="1" applyAlignment="1">
      <alignment horizontal="center" vertical="center"/>
    </xf>
    <xf numFmtId="0" fontId="173" fillId="3" borderId="0" xfId="25" applyFont="1" applyFill="1" applyAlignment="1">
      <alignment horizontal="center" vertical="center" shrinkToFit="1"/>
    </xf>
    <xf numFmtId="0" fontId="167" fillId="3" borderId="200" xfId="25" applyFill="1" applyBorder="1" applyAlignment="1">
      <alignment horizontal="center" vertical="center" shrinkToFit="1"/>
    </xf>
    <xf numFmtId="0" fontId="183" fillId="3" borderId="199" xfId="25" applyFont="1" applyFill="1" applyBorder="1" applyAlignment="1">
      <alignment horizontal="left" vertical="center" shrinkToFit="1"/>
    </xf>
    <xf numFmtId="0" fontId="167" fillId="3" borderId="138" xfId="25" applyFill="1" applyBorder="1" applyAlignment="1">
      <alignment horizontal="center" vertical="center" shrinkToFit="1"/>
    </xf>
    <xf numFmtId="0" fontId="167" fillId="3" borderId="97" xfId="25" applyFill="1" applyBorder="1" applyAlignment="1">
      <alignment horizontal="center" vertical="center" shrinkToFit="1"/>
    </xf>
    <xf numFmtId="0" fontId="178" fillId="23" borderId="259" xfId="25" applyFont="1" applyFill="1" applyBorder="1" applyAlignment="1">
      <alignment horizontal="center" vertical="center"/>
    </xf>
    <xf numFmtId="0" fontId="178" fillId="23" borderId="263" xfId="25" applyFont="1" applyFill="1" applyBorder="1" applyAlignment="1">
      <alignment horizontal="center" vertical="center"/>
    </xf>
    <xf numFmtId="0" fontId="182" fillId="3" borderId="6" xfId="25" applyFont="1" applyFill="1" applyBorder="1" applyAlignment="1">
      <alignment horizontal="left" vertical="center" wrapText="1" shrinkToFit="1"/>
    </xf>
    <xf numFmtId="0" fontId="178" fillId="23" borderId="260" xfId="25" applyFont="1" applyFill="1" applyBorder="1" applyAlignment="1">
      <alignment horizontal="center" vertical="center"/>
    </xf>
    <xf numFmtId="0" fontId="178" fillId="23" borderId="267" xfId="25" applyFont="1" applyFill="1" applyBorder="1" applyAlignment="1">
      <alignment horizontal="center" vertical="center"/>
    </xf>
    <xf numFmtId="0" fontId="77" fillId="3" borderId="48" xfId="25" applyFont="1" applyFill="1" applyBorder="1" applyAlignment="1">
      <alignment horizontal="left" vertical="center" shrinkToFit="1"/>
    </xf>
    <xf numFmtId="0" fontId="183" fillId="3" borderId="0" xfId="25" applyFont="1" applyFill="1" applyAlignment="1">
      <alignment horizontal="left" vertical="center" shrinkToFit="1"/>
    </xf>
    <xf numFmtId="0" fontId="178" fillId="23" borderId="273" xfId="25" applyFont="1" applyFill="1" applyBorder="1" applyAlignment="1">
      <alignment horizontal="center" vertical="center"/>
    </xf>
    <xf numFmtId="0" fontId="178" fillId="23" borderId="274" xfId="25" applyFont="1" applyFill="1" applyBorder="1" applyAlignment="1">
      <alignment horizontal="center" vertical="center"/>
    </xf>
    <xf numFmtId="0" fontId="16" fillId="3" borderId="278" xfId="25" applyFont="1" applyFill="1" applyBorder="1" applyAlignment="1">
      <alignment horizontal="center" vertical="center" shrinkToFit="1"/>
    </xf>
    <xf numFmtId="0" fontId="16" fillId="3" borderId="281" xfId="25" applyFont="1" applyFill="1" applyBorder="1" applyAlignment="1">
      <alignment horizontal="center" vertical="center" shrinkToFit="1"/>
    </xf>
    <xf numFmtId="0" fontId="171" fillId="3" borderId="279" xfId="25" applyFont="1" applyFill="1" applyBorder="1" applyAlignment="1">
      <alignment horizontal="center" vertical="center"/>
    </xf>
    <xf numFmtId="0" fontId="171" fillId="3" borderId="277" xfId="25" applyFont="1" applyFill="1" applyBorder="1" applyAlignment="1">
      <alignment horizontal="center" vertical="center"/>
    </xf>
    <xf numFmtId="0" fontId="167" fillId="3" borderId="280" xfId="25" applyFill="1" applyBorder="1" applyAlignment="1">
      <alignment horizontal="center" vertical="center" shrinkToFit="1"/>
    </xf>
    <xf numFmtId="0" fontId="167" fillId="3" borderId="282" xfId="25" applyFill="1" applyBorder="1" applyAlignment="1">
      <alignment horizontal="center" vertical="center" shrinkToFit="1"/>
    </xf>
    <xf numFmtId="0" fontId="178" fillId="23" borderId="256" xfId="25" applyFont="1" applyFill="1" applyBorder="1" applyAlignment="1">
      <alignment horizontal="center" vertical="center"/>
    </xf>
    <xf numFmtId="0" fontId="182" fillId="3" borderId="6" xfId="25" applyFont="1" applyFill="1" applyBorder="1" applyAlignment="1">
      <alignment horizontal="left" vertical="center" shrinkToFit="1"/>
    </xf>
    <xf numFmtId="0" fontId="182" fillId="3" borderId="0" xfId="25" applyFont="1" applyFill="1" applyAlignment="1">
      <alignment horizontal="left" vertical="center" shrinkToFit="1"/>
    </xf>
    <xf numFmtId="0" fontId="178" fillId="23" borderId="268" xfId="25" applyFont="1" applyFill="1" applyBorder="1" applyAlignment="1">
      <alignment horizontal="center" vertical="center"/>
    </xf>
    <xf numFmtId="0" fontId="183" fillId="3" borderId="12" xfId="25" applyFont="1" applyFill="1" applyBorder="1" applyAlignment="1">
      <alignment horizontal="left" vertical="center" shrinkToFit="1"/>
    </xf>
    <xf numFmtId="0" fontId="16" fillId="3" borderId="6" xfId="25" applyFont="1" applyFill="1" applyBorder="1" applyAlignment="1">
      <alignment horizontal="left" vertical="center" wrapText="1" shrinkToFit="1"/>
    </xf>
    <xf numFmtId="0" fontId="2" fillId="3" borderId="0" xfId="25" applyFont="1" applyFill="1" applyAlignment="1">
      <alignment horizontal="left" vertical="center" shrinkToFit="1"/>
    </xf>
    <xf numFmtId="0" fontId="167" fillId="3" borderId="179" xfId="25" applyFill="1" applyBorder="1" applyAlignment="1">
      <alignment horizontal="center" vertical="center" shrinkToFit="1"/>
    </xf>
    <xf numFmtId="0" fontId="178" fillId="23" borderId="272" xfId="25" applyFont="1" applyFill="1" applyBorder="1" applyAlignment="1">
      <alignment horizontal="center" vertical="center"/>
    </xf>
    <xf numFmtId="0" fontId="182" fillId="3" borderId="0" xfId="25" applyFont="1" applyFill="1" applyAlignment="1">
      <alignment horizontal="left" vertical="center" wrapText="1" shrinkToFit="1"/>
    </xf>
    <xf numFmtId="0" fontId="178" fillId="23" borderId="271" xfId="25" applyFont="1" applyFill="1" applyBorder="1" applyAlignment="1">
      <alignment horizontal="center" vertical="center"/>
    </xf>
    <xf numFmtId="0" fontId="183" fillId="3" borderId="12" xfId="25" applyFont="1" applyFill="1" applyBorder="1" applyAlignment="1">
      <alignment horizontal="left" vertical="center" wrapText="1" shrinkToFit="1"/>
    </xf>
    <xf numFmtId="0" fontId="167" fillId="3" borderId="47" xfId="25" applyFill="1" applyBorder="1" applyAlignment="1">
      <alignment horizontal="center" vertical="center" shrinkToFit="1"/>
    </xf>
    <xf numFmtId="0" fontId="178" fillId="23" borderId="275" xfId="25" applyFont="1" applyFill="1" applyBorder="1" applyAlignment="1">
      <alignment horizontal="center" vertical="center"/>
    </xf>
    <xf numFmtId="0" fontId="178" fillId="23" borderId="276" xfId="25" applyFont="1" applyFill="1" applyBorder="1" applyAlignment="1">
      <alignment horizontal="center" vertical="center"/>
    </xf>
    <xf numFmtId="0" fontId="183" fillId="3" borderId="103" xfId="25" applyFont="1" applyFill="1" applyBorder="1" applyAlignment="1">
      <alignment horizontal="left" vertical="center" shrinkToFit="1"/>
    </xf>
    <xf numFmtId="0" fontId="183" fillId="3" borderId="48" xfId="25" applyFont="1" applyFill="1" applyBorder="1" applyAlignment="1">
      <alignment horizontal="left" vertical="center" shrinkToFit="1"/>
    </xf>
    <xf numFmtId="0" fontId="183" fillId="3" borderId="0" xfId="25" applyFont="1" applyFill="1" applyAlignment="1">
      <alignment horizontal="left" vertical="center" wrapText="1" shrinkToFit="1"/>
    </xf>
    <xf numFmtId="0" fontId="167" fillId="3" borderId="0" xfId="25" applyFill="1" applyAlignment="1">
      <alignment horizontal="left" vertical="center" shrinkToFit="1"/>
    </xf>
    <xf numFmtId="0" fontId="183" fillId="3" borderId="172" xfId="25" applyFont="1" applyFill="1" applyBorder="1" applyAlignment="1">
      <alignment horizontal="left" vertical="center" shrinkToFit="1"/>
    </xf>
    <xf numFmtId="0" fontId="175" fillId="3" borderId="48" xfId="25" applyFont="1" applyFill="1" applyBorder="1" applyAlignment="1">
      <alignment horizontal="left" vertical="center" wrapText="1" shrinkToFit="1"/>
    </xf>
    <xf numFmtId="0" fontId="77" fillId="3" borderId="48" xfId="25" applyFont="1" applyFill="1" applyBorder="1" applyAlignment="1">
      <alignment horizontal="left" vertical="center" wrapText="1" shrinkToFit="1"/>
    </xf>
    <xf numFmtId="0" fontId="175" fillId="3" borderId="0" xfId="25" applyFont="1" applyFill="1" applyAlignment="1">
      <alignment horizontal="left" vertical="center" wrapText="1"/>
    </xf>
    <xf numFmtId="0" fontId="167" fillId="3" borderId="0" xfId="25" applyFill="1" applyAlignment="1">
      <alignment horizontal="right" vertical="center" wrapText="1"/>
    </xf>
    <xf numFmtId="0" fontId="167" fillId="3" borderId="0" xfId="25" applyFill="1" applyAlignment="1">
      <alignment horizontal="left" vertical="center" wrapText="1"/>
    </xf>
    <xf numFmtId="0" fontId="9" fillId="0" borderId="110" xfId="6" applyFont="1" applyBorder="1" applyAlignment="1">
      <alignment horizontal="center" vertical="center" wrapText="1" shrinkToFit="1"/>
    </xf>
    <xf numFmtId="0" fontId="9" fillId="8" borderId="47" xfId="6" applyFont="1" applyFill="1" applyBorder="1" applyAlignment="1">
      <alignment horizontal="center" vertical="center" wrapText="1"/>
    </xf>
    <xf numFmtId="0" fontId="9" fillId="8" borderId="48" xfId="6" applyFont="1" applyFill="1" applyBorder="1" applyAlignment="1">
      <alignment horizontal="center" vertical="center"/>
    </xf>
    <xf numFmtId="0" fontId="9" fillId="8" borderId="49" xfId="6" applyFont="1" applyFill="1" applyBorder="1" applyAlignment="1">
      <alignment horizontal="center" vertical="center"/>
    </xf>
    <xf numFmtId="0" fontId="9" fillId="5" borderId="47" xfId="6" applyFont="1" applyFill="1" applyBorder="1" applyAlignment="1">
      <alignment horizontal="left" vertical="center" wrapText="1" shrinkToFit="1"/>
    </xf>
    <xf numFmtId="0" fontId="9" fillId="5" borderId="48" xfId="6" applyFont="1" applyFill="1" applyBorder="1" applyAlignment="1">
      <alignment horizontal="left" vertical="center" wrapText="1" shrinkToFit="1"/>
    </xf>
    <xf numFmtId="0" fontId="9" fillId="5" borderId="49" xfId="6" applyFont="1" applyFill="1" applyBorder="1" applyAlignment="1">
      <alignment horizontal="left" vertical="center" wrapText="1" shrinkToFit="1"/>
    </xf>
    <xf numFmtId="0" fontId="9" fillId="0" borderId="46" xfId="6" applyFont="1" applyBorder="1" applyAlignment="1">
      <alignment horizontal="left" vertical="center" wrapText="1" shrinkToFit="1"/>
    </xf>
    <xf numFmtId="0" fontId="38" fillId="23" borderId="46" xfId="6" applyFont="1" applyFill="1" applyBorder="1" applyAlignment="1">
      <alignment horizontal="left" vertical="center"/>
    </xf>
    <xf numFmtId="0" fontId="9" fillId="23" borderId="46" xfId="6" applyFont="1" applyFill="1" applyBorder="1" applyAlignment="1">
      <alignment horizontal="left" vertical="center"/>
    </xf>
    <xf numFmtId="0" fontId="9" fillId="0" borderId="6" xfId="6" applyFont="1" applyBorder="1" applyAlignment="1">
      <alignment horizontal="left" vertical="top" wrapText="1"/>
    </xf>
    <xf numFmtId="0" fontId="38" fillId="23" borderId="112" xfId="6" applyFont="1" applyFill="1" applyBorder="1" applyAlignment="1">
      <alignment horizontal="center" vertical="center" wrapText="1" shrinkToFit="1"/>
    </xf>
    <xf numFmtId="0" fontId="38" fillId="23" borderId="113" xfId="6" applyFont="1" applyFill="1" applyBorder="1" applyAlignment="1">
      <alignment horizontal="center" vertical="center" wrapText="1" shrinkToFit="1"/>
    </xf>
    <xf numFmtId="0" fontId="38" fillId="23" borderId="11" xfId="6" applyFont="1" applyFill="1" applyBorder="1" applyAlignment="1">
      <alignment horizontal="center" vertical="center" wrapText="1" shrinkToFit="1"/>
    </xf>
    <xf numFmtId="0" fontId="38" fillId="23"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38" fillId="23" borderId="9" xfId="6" applyFont="1" applyFill="1" applyBorder="1" applyAlignment="1">
      <alignment horizontal="center" vertical="center" wrapText="1" shrinkToFit="1"/>
    </xf>
    <xf numFmtId="0" fontId="38" fillId="23" borderId="50" xfId="6" applyFont="1" applyFill="1" applyBorder="1" applyAlignment="1">
      <alignment horizontal="center" vertical="center" wrapText="1" shrinkToFit="1"/>
    </xf>
    <xf numFmtId="0" fontId="38" fillId="23" borderId="5" xfId="6" applyFont="1" applyFill="1" applyBorder="1" applyAlignment="1">
      <alignment horizontal="center" vertical="center" wrapText="1" shrinkToFit="1"/>
    </xf>
    <xf numFmtId="0" fontId="38" fillId="23" borderId="13" xfId="6" applyFont="1" applyFill="1" applyBorder="1" applyAlignment="1">
      <alignment horizontal="center" vertical="center" wrapText="1" shrinkToFit="1"/>
    </xf>
    <xf numFmtId="0" fontId="38" fillId="23" borderId="46" xfId="6" applyFont="1" applyFill="1" applyBorder="1" applyAlignment="1">
      <alignment horizontal="center" vertical="center" wrapText="1" shrinkToFit="1"/>
    </xf>
    <xf numFmtId="0" fontId="9" fillId="0" borderId="0" xfId="6" applyFont="1" applyAlignment="1">
      <alignment horizontal="left" vertical="top" wrapText="1"/>
    </xf>
    <xf numFmtId="0" fontId="38" fillId="23" borderId="47" xfId="6" applyFont="1" applyFill="1" applyBorder="1" applyAlignment="1">
      <alignment horizontal="left" vertical="center" wrapText="1" shrinkToFit="1"/>
    </xf>
    <xf numFmtId="0" fontId="26" fillId="23" borderId="48" xfId="6" applyFont="1" applyFill="1" applyBorder="1" applyAlignment="1">
      <alignment horizontal="left" vertical="center" wrapText="1" shrinkToFit="1"/>
    </xf>
    <xf numFmtId="0" fontId="26" fillId="23" borderId="49" xfId="6" applyFont="1" applyFill="1" applyBorder="1" applyAlignment="1">
      <alignment horizontal="left" vertical="center" wrapText="1" shrinkToFit="1"/>
    </xf>
    <xf numFmtId="0" fontId="9" fillId="0" borderId="46" xfId="6" applyFont="1" applyBorder="1" applyAlignment="1">
      <alignment horizontal="center" vertical="center" wrapText="1" shrinkToFit="1"/>
    </xf>
    <xf numFmtId="0" fontId="9" fillId="0" borderId="46" xfId="6" applyFont="1" applyBorder="1" applyAlignment="1">
      <alignment horizontal="center" vertical="center"/>
    </xf>
    <xf numFmtId="0" fontId="9" fillId="0" borderId="110" xfId="6" applyFont="1" applyBorder="1" applyAlignment="1">
      <alignment horizontal="center" vertical="center"/>
    </xf>
    <xf numFmtId="0" fontId="9" fillId="0" borderId="47" xfId="6" applyFont="1" applyBorder="1" applyAlignment="1">
      <alignment horizontal="center" vertical="center"/>
    </xf>
    <xf numFmtId="0" fontId="9" fillId="0" borderId="49" xfId="6" applyFont="1" applyBorder="1" applyAlignment="1">
      <alignment horizontal="center" vertical="center"/>
    </xf>
    <xf numFmtId="0" fontId="9" fillId="0" borderId="110" xfId="6" applyFont="1" applyBorder="1" applyAlignment="1">
      <alignment horizontal="center" vertical="center" wrapText="1"/>
    </xf>
    <xf numFmtId="0" fontId="38" fillId="23" borderId="46" xfId="6" applyFont="1" applyFill="1" applyBorder="1" applyAlignment="1">
      <alignment horizontal="left" vertical="center" wrapText="1" shrinkToFit="1"/>
    </xf>
    <xf numFmtId="200" fontId="38" fillId="23" borderId="46" xfId="6" applyNumberFormat="1" applyFont="1" applyFill="1" applyBorder="1" applyAlignment="1">
      <alignment horizontal="right" vertical="center"/>
    </xf>
    <xf numFmtId="200" fontId="9" fillId="5" borderId="46" xfId="6" applyNumberFormat="1" applyFont="1" applyFill="1" applyBorder="1" applyAlignment="1">
      <alignment horizontal="right" vertical="center"/>
    </xf>
    <xf numFmtId="0" fontId="9" fillId="0" borderId="85" xfId="6" applyFont="1" applyBorder="1" applyAlignment="1">
      <alignment horizontal="center" vertical="center"/>
    </xf>
    <xf numFmtId="0" fontId="9" fillId="5" borderId="3" xfId="6" applyFont="1" applyFill="1" applyBorder="1" applyAlignment="1">
      <alignment horizontal="left" vertical="center" wrapText="1" shrinkToFit="1"/>
    </xf>
    <xf numFmtId="200" fontId="9" fillId="5" borderId="3" xfId="6" applyNumberFormat="1" applyFont="1" applyFill="1" applyBorder="1" applyAlignment="1">
      <alignment horizontal="right" vertical="center"/>
    </xf>
    <xf numFmtId="0" fontId="9" fillId="0" borderId="111" xfId="6" applyFont="1" applyBorder="1" applyAlignment="1">
      <alignment horizontal="center" vertical="center"/>
    </xf>
    <xf numFmtId="0" fontId="9" fillId="0" borderId="3" xfId="6" applyFont="1" applyBorder="1" applyAlignment="1">
      <alignment horizontal="left" vertical="center" wrapText="1"/>
    </xf>
    <xf numFmtId="0" fontId="9" fillId="0" borderId="3" xfId="6" applyFont="1" applyBorder="1" applyAlignment="1">
      <alignment horizontal="left" vertical="center"/>
    </xf>
    <xf numFmtId="0" fontId="9" fillId="0" borderId="46" xfId="6" applyFont="1" applyBorder="1" applyAlignment="1">
      <alignment horizontal="left" vertical="center" wrapText="1"/>
    </xf>
    <xf numFmtId="0" fontId="9" fillId="0" borderId="46" xfId="6" applyFont="1" applyBorder="1" applyAlignment="1">
      <alignment horizontal="left" vertical="center"/>
    </xf>
    <xf numFmtId="0" fontId="9" fillId="23" borderId="5" xfId="6" applyFont="1" applyFill="1" applyBorder="1" applyAlignment="1">
      <alignment horizontal="center" vertical="top"/>
    </xf>
    <xf numFmtId="0" fontId="9" fillId="23" borderId="12" xfId="6" applyFont="1" applyFill="1" applyBorder="1" applyAlignment="1">
      <alignment horizontal="center" vertical="top"/>
    </xf>
    <xf numFmtId="0" fontId="9" fillId="23" borderId="13" xfId="6" applyFont="1" applyFill="1" applyBorder="1" applyAlignment="1">
      <alignment horizontal="center" vertical="top"/>
    </xf>
    <xf numFmtId="0" fontId="38" fillId="23" borderId="46" xfId="6" applyFont="1" applyFill="1" applyBorder="1" applyAlignment="1">
      <alignment horizontal="left" vertical="top" wrapText="1" shrinkToFit="1"/>
    </xf>
    <xf numFmtId="0" fontId="184" fillId="0" borderId="6" xfId="6" applyFont="1" applyBorder="1" applyAlignment="1">
      <alignment horizontal="left" vertical="top" wrapText="1"/>
    </xf>
    <xf numFmtId="0" fontId="9" fillId="0" borderId="192" xfId="6" applyFont="1" applyBorder="1" applyAlignment="1">
      <alignment horizontal="center" vertical="center"/>
    </xf>
    <xf numFmtId="0" fontId="9" fillId="0" borderId="250" xfId="6" applyFont="1" applyBorder="1" applyAlignment="1">
      <alignment horizontal="center" vertical="center"/>
    </xf>
    <xf numFmtId="0" fontId="9" fillId="0" borderId="193" xfId="6" applyFont="1" applyBorder="1" applyAlignment="1">
      <alignment horizontal="center" vertical="center"/>
    </xf>
    <xf numFmtId="0" fontId="9" fillId="0" borderId="114" xfId="6" applyFont="1" applyBorder="1" applyAlignment="1">
      <alignment horizontal="left" vertical="center"/>
    </xf>
    <xf numFmtId="0" fontId="9" fillId="0" borderId="118" xfId="6" applyFont="1" applyBorder="1" applyAlignment="1">
      <alignment horizontal="left" vertical="center"/>
    </xf>
    <xf numFmtId="0" fontId="9" fillId="0" borderId="115" xfId="6" applyFont="1" applyBorder="1" applyAlignment="1">
      <alignment horizontal="left" vertical="center"/>
    </xf>
    <xf numFmtId="0" fontId="9" fillId="23" borderId="48" xfId="6" applyFont="1" applyFill="1" applyBorder="1" applyAlignment="1">
      <alignment horizontal="center" vertical="center"/>
    </xf>
    <xf numFmtId="0" fontId="9" fillId="23" borderId="9" xfId="6" applyFont="1" applyFill="1" applyBorder="1" applyAlignment="1">
      <alignment horizontal="left" vertical="top" wrapText="1" shrinkToFit="1"/>
    </xf>
    <xf numFmtId="0" fontId="9" fillId="23" borderId="6" xfId="6" applyFont="1" applyFill="1" applyBorder="1" applyAlignment="1">
      <alignment horizontal="left" vertical="top" wrapText="1" shrinkToFit="1"/>
    </xf>
    <xf numFmtId="0" fontId="9" fillId="23" borderId="50" xfId="6" applyFont="1" applyFill="1" applyBorder="1" applyAlignment="1">
      <alignment horizontal="left" vertical="top" wrapText="1" shrinkToFit="1"/>
    </xf>
    <xf numFmtId="0" fontId="9" fillId="23" borderId="11" xfId="6" applyFont="1" applyFill="1" applyBorder="1" applyAlignment="1">
      <alignment horizontal="left" vertical="top" wrapText="1" shrinkToFit="1"/>
    </xf>
    <xf numFmtId="0" fontId="9" fillId="23" borderId="0" xfId="6" applyFont="1" applyFill="1" applyAlignment="1">
      <alignment horizontal="left" vertical="top" wrapText="1" shrinkToFit="1"/>
    </xf>
    <xf numFmtId="0" fontId="9" fillId="23" borderId="8" xfId="6" applyFont="1" applyFill="1" applyBorder="1" applyAlignment="1">
      <alignment horizontal="left" vertical="top" wrapText="1" shrinkToFit="1"/>
    </xf>
    <xf numFmtId="0" fontId="9" fillId="23" borderId="5" xfId="6" applyFont="1" applyFill="1" applyBorder="1" applyAlignment="1">
      <alignment horizontal="left" vertical="top" wrapText="1" shrinkToFit="1"/>
    </xf>
    <xf numFmtId="0" fontId="9" fillId="23" borderId="12" xfId="6" applyFont="1" applyFill="1" applyBorder="1" applyAlignment="1">
      <alignment horizontal="left" vertical="top" wrapText="1" shrinkToFit="1"/>
    </xf>
    <xf numFmtId="0" fontId="9" fillId="23"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50"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197" fontId="38" fillId="23" borderId="46" xfId="6" applyNumberFormat="1" applyFont="1" applyFill="1" applyBorder="1" applyAlignment="1">
      <alignment horizontal="right" vertical="center"/>
    </xf>
    <xf numFmtId="197" fontId="9" fillId="5" borderId="46" xfId="6" applyNumberFormat="1" applyFont="1" applyFill="1" applyBorder="1" applyAlignment="1">
      <alignment horizontal="right" vertical="center"/>
    </xf>
    <xf numFmtId="197" fontId="9" fillId="5" borderId="3" xfId="6" applyNumberFormat="1" applyFont="1" applyFill="1" applyBorder="1" applyAlignment="1">
      <alignment horizontal="right" vertical="center"/>
    </xf>
    <xf numFmtId="0" fontId="9" fillId="23" borderId="46" xfId="6" applyFont="1" applyFill="1" applyBorder="1" applyAlignment="1">
      <alignment horizontal="left" vertical="top" wrapText="1" shrinkToFit="1"/>
    </xf>
    <xf numFmtId="0" fontId="9" fillId="0" borderId="9" xfId="6" applyFont="1" applyBorder="1" applyAlignment="1">
      <alignment horizontal="center" vertical="top" wrapText="1"/>
    </xf>
    <xf numFmtId="0" fontId="9" fillId="0" borderId="6" xfId="6" applyFont="1" applyBorder="1" applyAlignment="1">
      <alignment horizontal="center" vertical="top" wrapText="1"/>
    </xf>
    <xf numFmtId="0" fontId="9" fillId="0" borderId="50" xfId="6" applyFont="1" applyBorder="1" applyAlignment="1">
      <alignment horizontal="center" vertical="top" wrapText="1"/>
    </xf>
    <xf numFmtId="0" fontId="62" fillId="23" borderId="5" xfId="6" applyFont="1" applyFill="1" applyBorder="1" applyAlignment="1">
      <alignment vertical="top" wrapText="1"/>
    </xf>
    <xf numFmtId="0" fontId="62" fillId="23" borderId="12" xfId="6" applyFont="1" applyFill="1" applyBorder="1" applyAlignment="1">
      <alignment vertical="top" wrapText="1"/>
    </xf>
    <xf numFmtId="0" fontId="62" fillId="23" borderId="13" xfId="6" applyFont="1" applyFill="1" applyBorder="1" applyAlignment="1">
      <alignment vertical="top" wrapText="1"/>
    </xf>
    <xf numFmtId="0" fontId="9" fillId="0" borderId="9" xfId="6" applyFont="1" applyBorder="1" applyAlignment="1">
      <alignment vertical="top" wrapText="1"/>
    </xf>
    <xf numFmtId="0" fontId="9" fillId="0" borderId="6" xfId="6" applyFont="1" applyBorder="1" applyAlignment="1">
      <alignment vertical="top" wrapText="1"/>
    </xf>
    <xf numFmtId="0" fontId="9" fillId="0" borderId="50" xfId="6" applyFont="1" applyBorder="1" applyAlignment="1">
      <alignment vertical="top" wrapText="1"/>
    </xf>
    <xf numFmtId="0" fontId="9" fillId="5" borderId="3" xfId="6" applyFont="1" applyFill="1" applyBorder="1" applyAlignment="1">
      <alignment horizontal="left" vertical="center"/>
    </xf>
    <xf numFmtId="0" fontId="38" fillId="23" borderId="3" xfId="6" applyFont="1" applyFill="1" applyBorder="1" applyAlignment="1">
      <alignment horizontal="left" vertical="center"/>
    </xf>
    <xf numFmtId="0" fontId="9" fillId="23" borderId="5" xfId="6" applyFont="1" applyFill="1" applyBorder="1" applyAlignment="1">
      <alignment horizontal="left" vertical="top" wrapText="1"/>
    </xf>
    <xf numFmtId="0" fontId="9" fillId="23" borderId="12" xfId="6" applyFont="1" applyFill="1" applyBorder="1" applyAlignment="1">
      <alignment horizontal="left" vertical="top" wrapText="1"/>
    </xf>
    <xf numFmtId="0" fontId="9" fillId="23" borderId="13" xfId="6" applyFont="1" applyFill="1" applyBorder="1" applyAlignment="1">
      <alignment horizontal="left" vertical="top" wrapText="1"/>
    </xf>
    <xf numFmtId="0" fontId="184" fillId="0" borderId="0" xfId="6" applyFont="1" applyAlignment="1">
      <alignment horizontal="left" vertical="top" wrapText="1"/>
    </xf>
    <xf numFmtId="0" fontId="9" fillId="0" borderId="110" xfId="6" applyFont="1" applyBorder="1" applyAlignment="1">
      <alignment horizontal="left" vertical="center" wrapText="1" shrinkToFit="1"/>
    </xf>
    <xf numFmtId="0" fontId="9" fillId="0" borderId="110" xfId="6" applyFont="1" applyBorder="1" applyAlignment="1">
      <alignment horizontal="left" vertical="center"/>
    </xf>
    <xf numFmtId="0" fontId="9" fillId="0" borderId="3" xfId="6" applyFont="1" applyBorder="1" applyAlignment="1">
      <alignment horizontal="left" vertical="top" wrapText="1" shrinkToFit="1"/>
    </xf>
    <xf numFmtId="0" fontId="9" fillId="0" borderId="46" xfId="6" applyFont="1" applyBorder="1" applyAlignment="1">
      <alignment horizontal="left" vertical="top" wrapText="1" shrinkToFit="1"/>
    </xf>
    <xf numFmtId="198" fontId="9" fillId="5" borderId="3" xfId="6" applyNumberFormat="1" applyFont="1" applyFill="1" applyBorder="1" applyAlignment="1">
      <alignment horizontal="right" vertical="center"/>
    </xf>
    <xf numFmtId="198" fontId="38" fillId="23" borderId="46" xfId="6" applyNumberFormat="1" applyFont="1" applyFill="1" applyBorder="1" applyAlignment="1">
      <alignment horizontal="right" vertical="center"/>
    </xf>
    <xf numFmtId="198" fontId="9" fillId="5" borderId="46" xfId="6" applyNumberFormat="1" applyFont="1" applyFill="1" applyBorder="1" applyAlignment="1">
      <alignment horizontal="right" vertical="center"/>
    </xf>
    <xf numFmtId="0" fontId="9" fillId="23" borderId="46" xfId="6" applyFont="1" applyFill="1" applyBorder="1" applyAlignment="1">
      <alignment horizontal="left" vertical="top" wrapText="1"/>
    </xf>
    <xf numFmtId="0" fontId="9" fillId="23" borderId="46" xfId="6" applyFont="1" applyFill="1" applyBorder="1" applyAlignment="1">
      <alignment horizontal="left" vertical="top"/>
    </xf>
    <xf numFmtId="0" fontId="62" fillId="23" borderId="11" xfId="6" applyFont="1" applyFill="1" applyBorder="1" applyAlignment="1">
      <alignment vertical="top" wrapText="1"/>
    </xf>
    <xf numFmtId="0" fontId="62" fillId="23" borderId="0" xfId="6" applyFont="1" applyFill="1" applyAlignment="1">
      <alignment vertical="top" wrapText="1"/>
    </xf>
    <xf numFmtId="0" fontId="62" fillId="23" borderId="8" xfId="6" applyFont="1" applyFill="1" applyBorder="1" applyAlignment="1">
      <alignment vertical="top" wrapText="1"/>
    </xf>
    <xf numFmtId="0" fontId="9" fillId="0" borderId="0" xfId="0" applyFont="1" applyAlignment="1">
      <alignment horizontal="left" vertical="center" wrapText="1"/>
    </xf>
    <xf numFmtId="0" fontId="9" fillId="0" borderId="0" xfId="0" applyFont="1" applyAlignment="1">
      <alignment horizontal="left" vertical="center"/>
    </xf>
    <xf numFmtId="0" fontId="44" fillId="0" borderId="47" xfId="0" applyFont="1" applyBorder="1" applyAlignment="1">
      <alignment horizontal="left" vertical="center" wrapText="1"/>
    </xf>
    <xf numFmtId="0" fontId="44" fillId="0" borderId="48" xfId="0" applyFont="1" applyBorder="1" applyAlignment="1">
      <alignment horizontal="left" vertical="center" wrapText="1"/>
    </xf>
    <xf numFmtId="0" fontId="44" fillId="23" borderId="48" xfId="0" applyFont="1" applyFill="1" applyBorder="1" applyAlignment="1">
      <alignment horizontal="left" vertical="center" wrapText="1"/>
    </xf>
    <xf numFmtId="0" fontId="44" fillId="23" borderId="196"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4" fillId="0" borderId="145" xfId="0" applyFont="1" applyBorder="1" applyAlignment="1">
      <alignment horizontal="center" vertical="center" wrapText="1"/>
    </xf>
    <xf numFmtId="0" fontId="44" fillId="0" borderId="116" xfId="0" applyFont="1" applyBorder="1" applyAlignment="1">
      <alignment horizontal="center" vertical="center" wrapText="1"/>
    </xf>
    <xf numFmtId="0" fontId="44" fillId="5" borderId="116" xfId="0" applyFont="1" applyFill="1" applyBorder="1" applyAlignment="1">
      <alignment horizontal="right" vertical="center" wrapText="1"/>
    </xf>
    <xf numFmtId="38" fontId="44" fillId="5" borderId="241" xfId="2" applyFont="1" applyFill="1" applyBorder="1" applyAlignment="1">
      <alignment horizontal="right" vertical="center" wrapText="1"/>
    </xf>
    <xf numFmtId="38" fontId="44" fillId="5" borderId="242" xfId="2" applyFont="1" applyFill="1" applyBorder="1" applyAlignment="1">
      <alignment horizontal="right" vertical="center" wrapText="1"/>
    </xf>
    <xf numFmtId="0" fontId="44" fillId="23" borderId="194" xfId="0" applyFont="1" applyFill="1" applyBorder="1" applyAlignment="1">
      <alignment horizontal="left" vertical="center" wrapText="1"/>
    </xf>
    <xf numFmtId="0" fontId="44" fillId="23" borderId="236" xfId="0" applyFont="1" applyFill="1" applyBorder="1" applyAlignment="1">
      <alignment horizontal="left" vertical="center" wrapText="1"/>
    </xf>
    <xf numFmtId="0" fontId="44" fillId="23" borderId="46" xfId="0" applyFont="1" applyFill="1" applyBorder="1" applyAlignment="1">
      <alignment horizontal="left" vertical="center" wrapText="1"/>
    </xf>
    <xf numFmtId="0" fontId="44" fillId="23" borderId="66" xfId="0" applyFont="1" applyFill="1" applyBorder="1" applyAlignment="1">
      <alignment horizontal="left" vertical="center" wrapText="1"/>
    </xf>
    <xf numFmtId="0" fontId="44" fillId="23" borderId="46" xfId="0" applyFont="1" applyFill="1" applyBorder="1" applyAlignment="1">
      <alignment horizontal="right" vertical="center" wrapText="1"/>
    </xf>
    <xf numFmtId="0" fontId="44" fillId="23" borderId="237" xfId="0" applyFont="1" applyFill="1" applyBorder="1" applyAlignment="1">
      <alignment horizontal="right" vertical="center" wrapText="1"/>
    </xf>
    <xf numFmtId="0" fontId="44" fillId="23" borderId="66" xfId="0" applyFont="1" applyFill="1" applyBorder="1" applyAlignment="1">
      <alignment horizontal="right" vertical="center" wrapText="1"/>
    </xf>
    <xf numFmtId="0" fontId="44" fillId="0" borderId="233" xfId="0" applyFont="1" applyBorder="1" applyAlignment="1">
      <alignment horizontal="center" vertical="center" textRotation="255" wrapText="1"/>
    </xf>
    <xf numFmtId="0" fontId="44" fillId="0" borderId="65" xfId="0" applyFont="1" applyBorder="1" applyAlignment="1">
      <alignment horizontal="center" vertical="center" textRotation="255" wrapText="1"/>
    </xf>
    <xf numFmtId="0" fontId="44" fillId="0" borderId="57" xfId="0" applyFont="1" applyBorder="1" applyAlignment="1">
      <alignment horizontal="center" vertical="center" textRotation="255" wrapText="1"/>
    </xf>
    <xf numFmtId="0" fontId="44" fillId="0" borderId="194" xfId="0" applyFont="1" applyBorder="1" applyAlignment="1">
      <alignment horizontal="left" vertical="center" wrapText="1"/>
    </xf>
    <xf numFmtId="0" fontId="44" fillId="23" borderId="234" xfId="0" applyFont="1" applyFill="1" applyBorder="1" applyAlignment="1">
      <alignment horizontal="left" vertical="center" wrapText="1"/>
    </xf>
    <xf numFmtId="0" fontId="44" fillId="23" borderId="237" xfId="0" applyFont="1" applyFill="1" applyBorder="1" applyAlignment="1">
      <alignment horizontal="left" vertical="center" wrapText="1"/>
    </xf>
    <xf numFmtId="0" fontId="44" fillId="0" borderId="235" xfId="0" applyFont="1" applyBorder="1" applyAlignment="1">
      <alignment horizontal="center" vertical="center" textRotation="255" wrapText="1"/>
    </xf>
    <xf numFmtId="0" fontId="44" fillId="0" borderId="238" xfId="0" applyFont="1" applyBorder="1" applyAlignment="1">
      <alignment horizontal="center" vertical="center" textRotation="255" wrapText="1"/>
    </xf>
    <xf numFmtId="0" fontId="44" fillId="0" borderId="240" xfId="0" applyFont="1" applyBorder="1" applyAlignment="1">
      <alignment horizontal="center" vertical="center" textRotation="255" wrapText="1"/>
    </xf>
    <xf numFmtId="0" fontId="44" fillId="0" borderId="46" xfId="0" applyFont="1" applyBorder="1" applyAlignment="1">
      <alignment horizontal="center" vertical="center" wrapText="1"/>
    </xf>
    <xf numFmtId="0" fontId="44" fillId="0" borderId="237" xfId="0" applyFont="1" applyBorder="1" applyAlignment="1">
      <alignment horizontal="center" vertical="center" wrapText="1"/>
    </xf>
    <xf numFmtId="0" fontId="44" fillId="23" borderId="27" xfId="0" applyFont="1" applyFill="1" applyBorder="1" applyAlignment="1">
      <alignment horizontal="center" vertical="center" wrapText="1"/>
    </xf>
    <xf numFmtId="0" fontId="44" fillId="23" borderId="239" xfId="0" applyFont="1" applyFill="1" applyBorder="1" applyAlignment="1">
      <alignment horizontal="center" vertical="center" wrapText="1"/>
    </xf>
    <xf numFmtId="0" fontId="44" fillId="23" borderId="28" xfId="0" applyFont="1" applyFill="1" applyBorder="1" applyAlignment="1">
      <alignment horizontal="center" vertical="center" wrapText="1"/>
    </xf>
    <xf numFmtId="0" fontId="48" fillId="23" borderId="46" xfId="0" applyFont="1" applyFill="1" applyBorder="1" applyAlignment="1">
      <alignment horizontal="left" vertical="top" wrapText="1"/>
    </xf>
    <xf numFmtId="0" fontId="48" fillId="23" borderId="47" xfId="0" applyFont="1" applyFill="1" applyBorder="1" applyAlignment="1">
      <alignment horizontal="center" vertical="top" wrapText="1"/>
    </xf>
    <xf numFmtId="0" fontId="48" fillId="23" borderId="48" xfId="0" applyFont="1" applyFill="1" applyBorder="1" applyAlignment="1">
      <alignment horizontal="center" vertical="top" wrapText="1"/>
    </xf>
    <xf numFmtId="0" fontId="48" fillId="23"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19" fillId="0" borderId="0" xfId="0" applyFont="1" applyAlignment="1">
      <alignment horizontal="center" vertical="center"/>
    </xf>
    <xf numFmtId="0" fontId="63" fillId="0" borderId="46" xfId="0" applyFont="1" applyBorder="1" applyAlignment="1">
      <alignment horizontal="center" vertical="top" wrapText="1"/>
    </xf>
    <xf numFmtId="0" fontId="63" fillId="0" borderId="46" xfId="0" applyFont="1" applyBorder="1" applyAlignment="1">
      <alignment horizontal="left" vertical="top" wrapText="1"/>
    </xf>
    <xf numFmtId="0" fontId="9" fillId="0" borderId="46" xfId="0" applyFont="1" applyBorder="1" applyAlignment="1">
      <alignment horizontal="center" vertical="top"/>
    </xf>
    <xf numFmtId="0" fontId="9" fillId="23" borderId="9" xfId="0" applyFont="1" applyFill="1" applyBorder="1" applyAlignment="1">
      <alignment horizontal="left" vertical="top"/>
    </xf>
    <xf numFmtId="0" fontId="9" fillId="23" borderId="6" xfId="0" applyFont="1" applyFill="1" applyBorder="1" applyAlignment="1">
      <alignment horizontal="left" vertical="top"/>
    </xf>
    <xf numFmtId="0" fontId="9" fillId="23" borderId="50" xfId="0" applyFont="1" applyFill="1" applyBorder="1" applyAlignment="1">
      <alignment horizontal="left" vertical="top"/>
    </xf>
    <xf numFmtId="0" fontId="9" fillId="23" borderId="5" xfId="0" applyFont="1" applyFill="1" applyBorder="1" applyAlignment="1">
      <alignment horizontal="left" vertical="top"/>
    </xf>
    <xf numFmtId="0" fontId="9" fillId="23" borderId="12" xfId="0" applyFont="1" applyFill="1" applyBorder="1" applyAlignment="1">
      <alignment horizontal="left" vertical="top"/>
    </xf>
    <xf numFmtId="0" fontId="9" fillId="23" borderId="13" xfId="0" applyFont="1" applyFill="1" applyBorder="1" applyAlignment="1">
      <alignment horizontal="left" vertical="top"/>
    </xf>
    <xf numFmtId="0" fontId="9" fillId="23" borderId="47" xfId="0" applyFont="1" applyFill="1" applyBorder="1" applyAlignment="1">
      <alignment horizontal="left" vertical="center"/>
    </xf>
    <xf numFmtId="0" fontId="9" fillId="23" borderId="48" xfId="0" applyFont="1" applyFill="1" applyBorder="1" applyAlignment="1">
      <alignment horizontal="left" vertical="center"/>
    </xf>
    <xf numFmtId="0" fontId="9" fillId="23" borderId="126" xfId="0" applyFont="1" applyFill="1" applyBorder="1" applyAlignment="1">
      <alignment horizontal="left" vertical="center"/>
    </xf>
    <xf numFmtId="0" fontId="9" fillId="23" borderId="127" xfId="0" applyFont="1" applyFill="1" applyBorder="1" applyAlignment="1">
      <alignment horizontal="left" vertical="center"/>
    </xf>
    <xf numFmtId="216" fontId="9" fillId="23" borderId="251" xfId="0" applyNumberFormat="1" applyFont="1" applyFill="1" applyBorder="1" applyAlignment="1">
      <alignment horizontal="right" vertical="center"/>
    </xf>
    <xf numFmtId="216" fontId="9" fillId="23" borderId="121" xfId="0" applyNumberFormat="1" applyFont="1" applyFill="1" applyBorder="1" applyAlignment="1">
      <alignment horizontal="right" vertical="center"/>
    </xf>
    <xf numFmtId="216" fontId="9" fillId="23" borderId="122" xfId="0" applyNumberFormat="1" applyFont="1" applyFill="1" applyBorder="1" applyAlignment="1">
      <alignment horizontal="right" vertical="center"/>
    </xf>
    <xf numFmtId="0" fontId="9" fillId="23" borderId="128" xfId="0" applyFont="1" applyFill="1" applyBorder="1" applyAlignment="1">
      <alignment horizontal="left" vertical="center"/>
    </xf>
    <xf numFmtId="0" fontId="9" fillId="23" borderId="129" xfId="0" applyFont="1" applyFill="1" applyBorder="1" applyAlignment="1">
      <alignment horizontal="left" vertical="center"/>
    </xf>
    <xf numFmtId="216" fontId="9" fillId="23" borderId="252" xfId="0" applyNumberFormat="1" applyFont="1" applyFill="1" applyBorder="1" applyAlignment="1">
      <alignment horizontal="right" vertical="center"/>
    </xf>
    <xf numFmtId="216" fontId="9" fillId="23" borderId="253" xfId="0" applyNumberFormat="1" applyFont="1" applyFill="1" applyBorder="1" applyAlignment="1">
      <alignment horizontal="right" vertical="center"/>
    </xf>
    <xf numFmtId="216" fontId="9" fillId="23" borderId="254" xfId="0" applyNumberFormat="1" applyFont="1" applyFill="1" applyBorder="1" applyAlignment="1">
      <alignment horizontal="right" vertical="center"/>
    </xf>
    <xf numFmtId="0" fontId="9" fillId="0" borderId="130" xfId="0" applyFont="1" applyBorder="1" applyAlignment="1">
      <alignment horizontal="right" vertical="center"/>
    </xf>
    <xf numFmtId="0" fontId="9" fillId="0" borderId="131" xfId="0" applyFont="1" applyBorder="1" applyAlignment="1">
      <alignment horizontal="right" vertical="center"/>
    </xf>
    <xf numFmtId="215" fontId="9" fillId="5" borderId="131" xfId="0" applyNumberFormat="1" applyFont="1" applyFill="1" applyBorder="1" applyAlignment="1">
      <alignment horizontal="right" vertical="center"/>
    </xf>
    <xf numFmtId="215" fontId="9" fillId="5" borderId="132" xfId="0" applyNumberFormat="1" applyFont="1" applyFill="1" applyBorder="1" applyAlignment="1">
      <alignment horizontal="right" vertical="center"/>
    </xf>
    <xf numFmtId="0" fontId="9" fillId="23" borderId="120" xfId="0" applyFont="1" applyFill="1" applyBorder="1" applyAlignment="1">
      <alignment horizontal="left" vertical="center"/>
    </xf>
    <xf numFmtId="0" fontId="9" fillId="23" borderId="121" xfId="0" applyFont="1" applyFill="1" applyBorder="1" applyAlignment="1">
      <alignment horizontal="left" vertical="center"/>
    </xf>
    <xf numFmtId="0" fontId="9" fillId="23" borderId="122" xfId="0" applyFont="1" applyFill="1" applyBorder="1" applyAlignment="1">
      <alignment horizontal="left" vertical="center"/>
    </xf>
    <xf numFmtId="0" fontId="9" fillId="23" borderId="123" xfId="0" applyFont="1" applyFill="1" applyBorder="1" applyAlignment="1">
      <alignment horizontal="left" vertical="center"/>
    </xf>
    <xf numFmtId="0" fontId="9" fillId="23" borderId="124" xfId="0" applyFont="1" applyFill="1" applyBorder="1" applyAlignment="1">
      <alignment horizontal="left" vertical="center"/>
    </xf>
    <xf numFmtId="0" fontId="9" fillId="23" borderId="125" xfId="0" applyFont="1" applyFill="1" applyBorder="1" applyAlignment="1">
      <alignment horizontal="left" vertical="center"/>
    </xf>
    <xf numFmtId="0" fontId="9" fillId="23" borderId="0" xfId="0" applyFont="1" applyFill="1" applyAlignment="1">
      <alignment horizontal="right" vertical="center"/>
    </xf>
    <xf numFmtId="0" fontId="44" fillId="0" borderId="6" xfId="0" applyFont="1" applyBorder="1" applyAlignment="1">
      <alignment horizontal="left" vertical="center" wrapText="1"/>
    </xf>
    <xf numFmtId="0" fontId="44" fillId="0" borderId="6" xfId="0" applyFont="1" applyBorder="1" applyAlignment="1">
      <alignment horizontal="left" vertical="center"/>
    </xf>
    <xf numFmtId="0" fontId="44" fillId="0" borderId="0" xfId="0" applyFont="1" applyAlignment="1">
      <alignment horizontal="left" vertical="center"/>
    </xf>
    <xf numFmtId="0" fontId="48" fillId="0" borderId="135" xfId="0" applyFont="1" applyBorder="1" applyAlignment="1">
      <alignment horizontal="center" vertical="center"/>
    </xf>
    <xf numFmtId="0" fontId="48" fillId="0" borderId="136" xfId="0" applyFont="1" applyBorder="1" applyAlignment="1">
      <alignment horizontal="center" vertical="center"/>
    </xf>
    <xf numFmtId="0" fontId="48" fillId="0" borderId="51" xfId="0" applyFont="1" applyBorder="1" applyAlignment="1">
      <alignment horizontal="left" vertical="center"/>
    </xf>
    <xf numFmtId="0" fontId="48" fillId="0" borderId="3" xfId="0" applyFont="1" applyBorder="1" applyAlignment="1">
      <alignment horizontal="left" vertical="center"/>
    </xf>
    <xf numFmtId="0" fontId="48" fillId="0" borderId="51" xfId="0" applyFont="1" applyBorder="1" applyAlignment="1">
      <alignment horizontal="center" vertical="center"/>
    </xf>
    <xf numFmtId="0" fontId="48" fillId="0" borderId="3" xfId="0" applyFont="1" applyBorder="1" applyAlignment="1">
      <alignment horizontal="center" vertical="center"/>
    </xf>
    <xf numFmtId="0" fontId="48" fillId="0" borderId="51" xfId="0" applyFont="1" applyBorder="1" applyAlignment="1">
      <alignment horizontal="left" vertical="center" wrapText="1"/>
    </xf>
    <xf numFmtId="3" fontId="48" fillId="0" borderId="51" xfId="0" applyNumberFormat="1" applyFont="1" applyBorder="1" applyAlignment="1">
      <alignment horizontal="center" vertical="center"/>
    </xf>
    <xf numFmtId="0" fontId="48" fillId="5" borderId="51" xfId="0" applyFont="1" applyFill="1" applyBorder="1" applyAlignment="1">
      <alignment horizontal="center" vertical="center"/>
    </xf>
    <xf numFmtId="0" fontId="48" fillId="5" borderId="3" xfId="0" applyFont="1" applyFill="1" applyBorder="1" applyAlignment="1">
      <alignment horizontal="center" vertical="center"/>
    </xf>
    <xf numFmtId="0" fontId="63" fillId="0" borderId="51" xfId="0" applyFont="1" applyBorder="1" applyAlignment="1">
      <alignment horizontal="center" vertical="center" wrapText="1"/>
    </xf>
    <xf numFmtId="0" fontId="63" fillId="0" borderId="3" xfId="0" applyFont="1" applyBorder="1" applyAlignment="1">
      <alignment horizontal="center" vertical="center" wrapText="1"/>
    </xf>
    <xf numFmtId="0" fontId="48" fillId="0" borderId="47" xfId="0" applyFont="1" applyBorder="1" applyAlignment="1">
      <alignment horizontal="left" vertical="center"/>
    </xf>
    <xf numFmtId="0" fontId="48" fillId="0" borderId="48" xfId="0" applyFont="1" applyBorder="1" applyAlignment="1">
      <alignment horizontal="left" vertical="center"/>
    </xf>
    <xf numFmtId="0" fontId="48" fillId="0" borderId="49" xfId="0" applyFont="1" applyBorder="1" applyAlignment="1">
      <alignment horizontal="left" vertical="center"/>
    </xf>
    <xf numFmtId="0" fontId="48" fillId="0" borderId="46" xfId="0" applyFont="1" applyBorder="1" applyAlignment="1">
      <alignment horizontal="left" vertical="center"/>
    </xf>
    <xf numFmtId="0" fontId="133" fillId="5" borderId="47" xfId="0" applyFont="1" applyFill="1" applyBorder="1" applyAlignment="1">
      <alignment horizontal="center" vertical="center"/>
    </xf>
    <xf numFmtId="0" fontId="133" fillId="5" borderId="48" xfId="0" applyFont="1" applyFill="1" applyBorder="1" applyAlignment="1">
      <alignment horizontal="center" vertical="center"/>
    </xf>
    <xf numFmtId="0" fontId="133" fillId="5" borderId="49" xfId="0" applyFont="1" applyFill="1" applyBorder="1" applyAlignment="1">
      <alignment horizontal="center" vertical="center"/>
    </xf>
    <xf numFmtId="199" fontId="9" fillId="5" borderId="12" xfId="0" applyNumberFormat="1" applyFont="1" applyFill="1" applyBorder="1" applyAlignment="1">
      <alignment horizontal="center" vertical="center"/>
    </xf>
    <xf numFmtId="0" fontId="18" fillId="0" borderId="0" xfId="0" applyFont="1" applyAlignment="1">
      <alignment horizontal="left" vertical="center"/>
    </xf>
    <xf numFmtId="0" fontId="9" fillId="0" borderId="46" xfId="0" applyFont="1" applyBorder="1" applyAlignment="1">
      <alignment horizontal="left" vertical="center"/>
    </xf>
    <xf numFmtId="0" fontId="38" fillId="5" borderId="47" xfId="0" applyFont="1" applyFill="1" applyBorder="1" applyAlignment="1">
      <alignment horizontal="center" vertical="center"/>
    </xf>
    <xf numFmtId="0" fontId="38" fillId="5" borderId="48" xfId="0" applyFont="1" applyFill="1" applyBorder="1" applyAlignment="1">
      <alignment horizontal="center" vertical="center"/>
    </xf>
    <xf numFmtId="0" fontId="38" fillId="5" borderId="49" xfId="0" applyFont="1" applyFill="1" applyBorder="1" applyAlignment="1">
      <alignment horizontal="center" vertical="center"/>
    </xf>
    <xf numFmtId="0" fontId="48" fillId="0" borderId="7" xfId="0" applyFont="1" applyBorder="1" applyAlignment="1">
      <alignment horizontal="left" vertical="center"/>
    </xf>
    <xf numFmtId="0" fontId="9" fillId="0" borderId="114" xfId="0" applyFont="1" applyBorder="1" applyAlignment="1">
      <alignment horizontal="center" vertical="center"/>
    </xf>
    <xf numFmtId="0" fontId="0" fillId="0" borderId="118" xfId="0" applyBorder="1" applyAlignment="1">
      <alignment horizontal="center" vertical="center"/>
    </xf>
    <xf numFmtId="38" fontId="38" fillId="5" borderId="157" xfId="2" applyFont="1" applyFill="1" applyBorder="1" applyAlignment="1">
      <alignment horizontal="right" vertical="center"/>
    </xf>
    <xf numFmtId="38" fontId="40" fillId="5" borderId="118" xfId="2" applyFont="1" applyFill="1" applyBorder="1" applyAlignment="1">
      <alignment horizontal="right" vertical="center"/>
    </xf>
    <xf numFmtId="38" fontId="40" fillId="5" borderId="158" xfId="2" applyFont="1" applyFill="1" applyBorder="1" applyAlignment="1">
      <alignment horizontal="right" vertical="center"/>
    </xf>
    <xf numFmtId="38" fontId="40" fillId="5" borderId="115" xfId="2" applyFont="1" applyFill="1" applyBorder="1" applyAlignment="1">
      <alignment horizontal="right" vertical="center"/>
    </xf>
    <xf numFmtId="38" fontId="38" fillId="5" borderId="114" xfId="2" applyFont="1" applyFill="1" applyBorder="1" applyAlignment="1">
      <alignment horizontal="right" vertical="center"/>
    </xf>
    <xf numFmtId="38" fontId="38" fillId="5" borderId="118" xfId="2"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5"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6" xfId="2" applyFont="1" applyFill="1" applyBorder="1" applyAlignment="1">
      <alignment horizontal="right" vertical="center"/>
    </xf>
    <xf numFmtId="38" fontId="0" fillId="7" borderId="8" xfId="2" applyFont="1" applyFill="1" applyBorder="1" applyAlignment="1">
      <alignment horizontal="right" vertical="center"/>
    </xf>
    <xf numFmtId="38" fontId="9" fillId="7" borderId="11" xfId="2" applyFont="1" applyFill="1" applyBorder="1" applyAlignment="1">
      <alignment horizontal="right" vertical="center"/>
    </xf>
    <xf numFmtId="38" fontId="38" fillId="5" borderId="0" xfId="2" applyFont="1" applyFill="1" applyBorder="1" applyAlignment="1">
      <alignment horizontal="right" vertical="center"/>
    </xf>
    <xf numFmtId="38" fontId="40" fillId="5" borderId="0" xfId="2" applyFont="1" applyFill="1" applyBorder="1" applyAlignment="1">
      <alignment horizontal="right" vertical="center"/>
    </xf>
    <xf numFmtId="38" fontId="40" fillId="5" borderId="8"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38" fillId="7" borderId="11" xfId="0" applyFont="1" applyFill="1" applyBorder="1" applyAlignment="1">
      <alignment horizontal="center" vertical="center"/>
    </xf>
    <xf numFmtId="0" fontId="40" fillId="7" borderId="0" xfId="0" applyFont="1" applyFill="1" applyAlignment="1">
      <alignment horizontal="center" vertical="center"/>
    </xf>
    <xf numFmtId="38" fontId="38" fillId="7" borderId="155" xfId="2" applyFont="1" applyFill="1" applyBorder="1" applyAlignment="1">
      <alignment horizontal="right" vertical="center"/>
    </xf>
    <xf numFmtId="38" fontId="40" fillId="7" borderId="0" xfId="2" applyFont="1" applyFill="1" applyBorder="1" applyAlignment="1">
      <alignment horizontal="right" vertical="center"/>
    </xf>
    <xf numFmtId="38" fontId="40" fillId="7" borderId="156" xfId="2" applyFont="1" applyFill="1" applyBorder="1" applyAlignment="1">
      <alignment horizontal="right" vertical="center"/>
    </xf>
    <xf numFmtId="38" fontId="40" fillId="7" borderId="8" xfId="2" applyFont="1" applyFill="1" applyBorder="1" applyAlignment="1">
      <alignment horizontal="right" vertical="center"/>
    </xf>
    <xf numFmtId="38" fontId="38" fillId="7" borderId="11" xfId="2" applyFont="1" applyFill="1" applyBorder="1" applyAlignment="1">
      <alignment horizontal="right" vertical="center"/>
    </xf>
    <xf numFmtId="38" fontId="38" fillId="5" borderId="11" xfId="2" applyFont="1" applyFill="1" applyBorder="1" applyAlignment="1">
      <alignment horizontal="right" vertical="center"/>
    </xf>
    <xf numFmtId="0" fontId="9" fillId="0" borderId="154" xfId="0" applyFont="1" applyBorder="1" applyAlignment="1">
      <alignment horizontal="center" vertical="center"/>
    </xf>
    <xf numFmtId="0" fontId="0" fillId="0" borderId="30" xfId="0" applyBorder="1" applyAlignment="1">
      <alignment horizontal="center" vertical="center"/>
    </xf>
    <xf numFmtId="0" fontId="9" fillId="0" borderId="9" xfId="0" applyFont="1" applyBorder="1" applyAlignment="1">
      <alignment horizontal="center" vertical="center"/>
    </xf>
    <xf numFmtId="0" fontId="9" fillId="0" borderId="153" xfId="0" applyFont="1" applyBorder="1" applyAlignment="1">
      <alignment horizontal="center" vertical="center"/>
    </xf>
    <xf numFmtId="0" fontId="0" fillId="0" borderId="35" xfId="0" applyBorder="1" applyAlignment="1">
      <alignment horizontal="center" vertical="center"/>
    </xf>
    <xf numFmtId="0" fontId="9" fillId="0" borderId="248" xfId="0" applyFont="1" applyBorder="1" applyAlignment="1">
      <alignment horizontal="center" vertical="center"/>
    </xf>
    <xf numFmtId="0" fontId="0" fillId="0" borderId="248" xfId="0" applyBorder="1" applyAlignment="1">
      <alignment horizontal="center" vertical="center"/>
    </xf>
    <xf numFmtId="38" fontId="38" fillId="5" borderId="248" xfId="2" applyFont="1" applyFill="1" applyBorder="1" applyAlignment="1">
      <alignment horizontal="right" vertical="center"/>
    </xf>
    <xf numFmtId="38" fontId="40" fillId="5" borderId="248" xfId="2" applyFont="1" applyFill="1" applyBorder="1" applyAlignment="1">
      <alignment horizontal="right" vertical="center"/>
    </xf>
    <xf numFmtId="0" fontId="9" fillId="0" borderId="248" xfId="0" applyFont="1" applyBorder="1" applyAlignment="1">
      <alignment horizontal="left" vertical="center"/>
    </xf>
    <xf numFmtId="0" fontId="0" fillId="0" borderId="248" xfId="0" applyBorder="1" applyAlignment="1">
      <alignment horizontal="left" vertical="center"/>
    </xf>
    <xf numFmtId="0" fontId="9" fillId="0" borderId="151" xfId="0" applyFont="1" applyBorder="1" applyAlignment="1">
      <alignment horizontal="center" vertical="center"/>
    </xf>
    <xf numFmtId="0" fontId="0" fillId="0" borderId="152" xfId="0" applyBorder="1" applyAlignment="1">
      <alignment horizontal="center" vertical="center"/>
    </xf>
    <xf numFmtId="0" fontId="9" fillId="0" borderId="3" xfId="0" applyFont="1" applyBorder="1" applyAlignment="1">
      <alignment horizontal="center" vertical="center"/>
    </xf>
    <xf numFmtId="0" fontId="0" fillId="0" borderId="3" xfId="0" applyBorder="1" applyAlignment="1">
      <alignment horizontal="center" vertical="center"/>
    </xf>
    <xf numFmtId="38" fontId="38" fillId="5" borderId="5" xfId="2" applyFont="1" applyFill="1" applyBorder="1" applyAlignment="1">
      <alignment horizontal="right" vertical="center"/>
    </xf>
    <xf numFmtId="38" fontId="38" fillId="5" borderId="12" xfId="2" applyFont="1" applyFill="1" applyBorder="1" applyAlignment="1">
      <alignment horizontal="right" vertical="center"/>
    </xf>
    <xf numFmtId="38" fontId="38" fillId="5" borderId="13" xfId="2" applyFont="1" applyFill="1" applyBorder="1" applyAlignment="1">
      <alignment horizontal="right" vertical="center"/>
    </xf>
    <xf numFmtId="0" fontId="48" fillId="0" borderId="5" xfId="0" applyFont="1" applyBorder="1" applyAlignment="1">
      <alignment horizontal="center" vertical="center"/>
    </xf>
    <xf numFmtId="0" fontId="48" fillId="0" borderId="12" xfId="0" applyFont="1" applyBorder="1" applyAlignment="1">
      <alignment horizontal="center" vertical="center"/>
    </xf>
    <xf numFmtId="0" fontId="9" fillId="23" borderId="12" xfId="0" applyFont="1" applyFill="1" applyBorder="1" applyAlignment="1">
      <alignment horizontal="right" vertical="center"/>
    </xf>
    <xf numFmtId="0" fontId="9" fillId="23" borderId="13" xfId="0" applyFont="1" applyFill="1" applyBorder="1" applyAlignment="1">
      <alignment horizontal="right" vertical="center"/>
    </xf>
    <xf numFmtId="0" fontId="9" fillId="0" borderId="7" xfId="0" applyFont="1" applyBorder="1">
      <alignment vertical="center"/>
    </xf>
    <xf numFmtId="0" fontId="0" fillId="0" borderId="7" xfId="0" applyBorder="1">
      <alignment vertical="center"/>
    </xf>
    <xf numFmtId="38" fontId="38" fillId="5" borderId="7" xfId="2" applyFont="1" applyFill="1" applyBorder="1" applyAlignment="1">
      <alignment horizontal="right" vertical="center"/>
    </xf>
    <xf numFmtId="38" fontId="40" fillId="5" borderId="7" xfId="2" applyFont="1" applyFill="1" applyBorder="1" applyAlignment="1">
      <alignment horizontal="right" vertical="center"/>
    </xf>
    <xf numFmtId="0" fontId="9" fillId="23" borderId="7" xfId="0" applyFont="1" applyFill="1" applyBorder="1" applyAlignment="1">
      <alignment horizontal="left" vertical="center"/>
    </xf>
    <xf numFmtId="0" fontId="0" fillId="23" borderId="7" xfId="0" applyFill="1" applyBorder="1" applyAlignment="1">
      <alignment horizontal="left" vertical="center"/>
    </xf>
    <xf numFmtId="0" fontId="38" fillId="23" borderId="7" xfId="0" applyFont="1" applyFill="1" applyBorder="1" applyAlignment="1">
      <alignment horizontal="left" vertical="center"/>
    </xf>
    <xf numFmtId="0" fontId="40" fillId="23"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lignment vertical="center"/>
    </xf>
    <xf numFmtId="0" fontId="0" fillId="0" borderId="51" xfId="0" applyBorder="1">
      <alignment vertical="center"/>
    </xf>
    <xf numFmtId="38" fontId="38" fillId="5" borderId="51" xfId="2" applyFont="1" applyFill="1" applyBorder="1" applyAlignment="1">
      <alignment horizontal="right" vertical="center"/>
    </xf>
    <xf numFmtId="38" fontId="40" fillId="5" borderId="51" xfId="2" applyFont="1" applyFill="1" applyBorder="1" applyAlignment="1">
      <alignment horizontal="right" vertical="center"/>
    </xf>
    <xf numFmtId="0" fontId="38" fillId="23" borderId="51" xfId="0" applyFont="1" applyFill="1" applyBorder="1" applyAlignment="1">
      <alignment horizontal="left" vertical="center"/>
    </xf>
    <xf numFmtId="0" fontId="40" fillId="23" borderId="51" xfId="0" applyFont="1" applyFill="1" applyBorder="1" applyAlignment="1">
      <alignment horizontal="left" vertical="center"/>
    </xf>
    <xf numFmtId="0" fontId="9" fillId="0" borderId="46" xfId="0" applyFont="1" applyBorder="1">
      <alignment vertical="center"/>
    </xf>
    <xf numFmtId="38" fontId="38" fillId="7" borderId="46" xfId="2" applyFont="1" applyFill="1" applyBorder="1" applyAlignment="1">
      <alignment vertical="center"/>
    </xf>
    <xf numFmtId="0" fontId="38" fillId="7" borderId="46" xfId="0" applyFont="1" applyFill="1" applyBorder="1">
      <alignment vertical="center"/>
    </xf>
    <xf numFmtId="0" fontId="9" fillId="7" borderId="0" xfId="0" applyFont="1" applyFill="1" applyAlignment="1">
      <alignment horizontal="right" vertical="center"/>
    </xf>
    <xf numFmtId="204" fontId="9" fillId="5" borderId="0" xfId="14" applyNumberFormat="1" applyFont="1" applyFill="1" applyAlignment="1">
      <alignment horizontal="right"/>
    </xf>
    <xf numFmtId="0" fontId="39"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7" fillId="5" borderId="0" xfId="0" applyFont="1" applyFill="1" applyAlignment="1">
      <alignment horizontal="right" vertical="center"/>
    </xf>
    <xf numFmtId="0" fontId="39"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23" borderId="47" xfId="0" applyFont="1" applyFill="1" applyBorder="1" applyAlignment="1">
      <alignment horizontal="center" vertical="center"/>
    </xf>
    <xf numFmtId="0" fontId="9" fillId="23" borderId="48" xfId="0" applyFont="1" applyFill="1" applyBorder="1" applyAlignment="1">
      <alignment horizontal="center" vertical="center"/>
    </xf>
    <xf numFmtId="0" fontId="9" fillId="23" borderId="49" xfId="0" applyFont="1" applyFill="1" applyBorder="1" applyAlignment="1">
      <alignment horizontal="center" vertical="center"/>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212"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6" fillId="0" borderId="0" xfId="6" applyFont="1">
      <alignment vertical="center"/>
    </xf>
    <xf numFmtId="0" fontId="6" fillId="0" borderId="179" xfId="6" applyFont="1" applyBorder="1" applyAlignment="1">
      <alignment vertical="center" wrapText="1"/>
    </xf>
    <xf numFmtId="0" fontId="6" fillId="0" borderId="0" xfId="6" applyFont="1" applyAlignment="1">
      <alignment vertical="center" wrapText="1"/>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206" fontId="6" fillId="0" borderId="0" xfId="6" applyNumberFormat="1" applyFont="1" applyAlignment="1">
      <alignment horizontal="center" vertical="center" wrapText="1"/>
    </xf>
    <xf numFmtId="0" fontId="132" fillId="0" borderId="0" xfId="6" applyFont="1" applyAlignment="1">
      <alignment horizontal="left" vertical="top" wrapText="1"/>
    </xf>
    <xf numFmtId="0" fontId="132" fillId="0" borderId="0" xfId="6" applyFont="1" applyAlignment="1">
      <alignment horizontal="left" vertical="top"/>
    </xf>
    <xf numFmtId="0" fontId="5" fillId="2" borderId="138" xfId="6" applyFont="1" applyFill="1" applyBorder="1" applyAlignment="1">
      <alignment horizontal="center" vertical="center" wrapText="1"/>
    </xf>
    <xf numFmtId="0" fontId="5" fillId="2" borderId="199" xfId="6" applyFont="1" applyFill="1" applyBorder="1" applyAlignment="1">
      <alignment horizontal="center" vertical="center" wrapText="1"/>
    </xf>
    <xf numFmtId="0" fontId="5" fillId="2" borderId="179" xfId="6" applyFont="1" applyFill="1" applyBorder="1" applyAlignment="1">
      <alignment horizontal="center" vertical="center" wrapText="1"/>
    </xf>
    <xf numFmtId="0" fontId="5" fillId="2" borderId="0" xfId="6" applyFont="1" applyFill="1" applyAlignment="1">
      <alignment horizontal="center" vertical="center" wrapText="1"/>
    </xf>
    <xf numFmtId="0" fontId="5" fillId="2" borderId="97" xfId="6" applyFont="1" applyFill="1" applyBorder="1" applyAlignment="1">
      <alignment horizontal="center" vertical="center" wrapText="1"/>
    </xf>
    <xf numFmtId="0" fontId="5" fillId="2" borderId="200" xfId="6" applyFont="1" applyFill="1" applyBorder="1" applyAlignment="1">
      <alignment horizontal="center" vertical="center" wrapText="1"/>
    </xf>
    <xf numFmtId="0" fontId="126" fillId="0" borderId="11" xfId="18" applyFont="1" applyBorder="1" applyAlignment="1">
      <alignment horizontal="left" vertical="center" indent="1"/>
    </xf>
    <xf numFmtId="0" fontId="126" fillId="0" borderId="0" xfId="18" applyFont="1" applyAlignment="1">
      <alignment horizontal="left" vertical="center" indent="1"/>
    </xf>
    <xf numFmtId="0" fontId="126" fillId="0" borderId="8" xfId="18" applyFont="1" applyBorder="1" applyAlignment="1">
      <alignment horizontal="left" vertical="center" indent="1"/>
    </xf>
    <xf numFmtId="0" fontId="130" fillId="0" borderId="11" xfId="18" applyFont="1" applyBorder="1" applyAlignment="1">
      <alignment horizontal="left" vertical="center" indent="2"/>
    </xf>
    <xf numFmtId="0" fontId="130" fillId="0" borderId="0" xfId="18" applyFont="1" applyAlignment="1">
      <alignment horizontal="left" vertical="center" indent="2"/>
    </xf>
    <xf numFmtId="0" fontId="130" fillId="0" borderId="8" xfId="18" applyFont="1" applyBorder="1" applyAlignment="1">
      <alignment horizontal="left" vertical="center" indent="2"/>
    </xf>
    <xf numFmtId="0" fontId="130" fillId="0" borderId="11" xfId="18" applyFont="1" applyBorder="1">
      <alignment vertical="center"/>
    </xf>
    <xf numFmtId="0" fontId="130" fillId="0" borderId="0" xfId="18" applyFont="1">
      <alignment vertical="center"/>
    </xf>
    <xf numFmtId="0" fontId="130" fillId="0" borderId="8" xfId="18" applyFont="1" applyBorder="1">
      <alignment vertical="center"/>
    </xf>
    <xf numFmtId="0" fontId="126" fillId="0" borderId="11" xfId="18" applyFont="1" applyBorder="1">
      <alignment vertical="center"/>
    </xf>
    <xf numFmtId="0" fontId="126" fillId="0" borderId="0" xfId="18" applyFont="1">
      <alignment vertical="center"/>
    </xf>
    <xf numFmtId="0" fontId="126" fillId="0" borderId="8" xfId="18" applyFont="1" applyBorder="1">
      <alignment vertical="center"/>
    </xf>
    <xf numFmtId="0" fontId="126" fillId="16" borderId="12" xfId="6" applyFont="1" applyFill="1" applyBorder="1" applyAlignment="1">
      <alignment horizontal="center" vertical="center"/>
    </xf>
    <xf numFmtId="0" fontId="127" fillId="21" borderId="205" xfId="5" applyFont="1" applyFill="1" applyBorder="1" applyAlignment="1">
      <alignment horizontal="center" vertical="center"/>
    </xf>
    <xf numFmtId="0" fontId="127" fillId="21" borderId="206" xfId="5" applyFont="1" applyFill="1" applyBorder="1" applyAlignment="1">
      <alignment horizontal="center" vertical="center"/>
    </xf>
    <xf numFmtId="0" fontId="127" fillId="21" borderId="178" xfId="5" applyFont="1" applyFill="1" applyBorder="1" applyAlignment="1">
      <alignment horizontal="center" vertical="center"/>
    </xf>
    <xf numFmtId="0" fontId="116" fillId="21" borderId="207" xfId="6" applyFont="1" applyFill="1" applyBorder="1" applyAlignment="1">
      <alignment vertical="center" wrapText="1"/>
    </xf>
    <xf numFmtId="0" fontId="116" fillId="21" borderId="202" xfId="6" applyFont="1" applyFill="1" applyBorder="1" applyAlignment="1">
      <alignment vertical="center" wrapText="1"/>
    </xf>
    <xf numFmtId="0" fontId="126" fillId="0" borderId="8" xfId="6" applyFont="1" applyBorder="1" applyAlignment="1">
      <alignment vertical="center" wrapText="1"/>
    </xf>
    <xf numFmtId="0" fontId="127" fillId="5" borderId="209" xfId="5" applyFont="1" applyFill="1" applyBorder="1" applyAlignment="1">
      <alignment horizontal="center" vertical="center"/>
    </xf>
    <xf numFmtId="0" fontId="127" fillId="5" borderId="210" xfId="5" applyFont="1" applyFill="1" applyBorder="1" applyAlignment="1">
      <alignment horizontal="center" vertical="center"/>
    </xf>
    <xf numFmtId="0" fontId="112" fillId="0" borderId="78" xfId="9" applyFont="1" applyBorder="1" applyAlignment="1">
      <alignment horizontal="center" vertical="center" shrinkToFit="1"/>
    </xf>
    <xf numFmtId="0" fontId="78" fillId="0" borderId="81" xfId="0" applyFont="1" applyBorder="1" applyAlignment="1">
      <alignment horizontal="center" vertical="center"/>
    </xf>
    <xf numFmtId="203" fontId="110" fillId="0" borderId="47" xfId="9" applyNumberFormat="1" applyFont="1" applyBorder="1" applyAlignment="1">
      <alignment horizontal="center" vertical="center"/>
    </xf>
    <xf numFmtId="203" fontId="110" fillId="0" borderId="49" xfId="9" applyNumberFormat="1" applyFont="1" applyBorder="1" applyAlignment="1">
      <alignment horizontal="center" vertical="center"/>
    </xf>
    <xf numFmtId="203" fontId="108" fillId="23" borderId="47" xfId="9" applyNumberFormat="1" applyFont="1" applyFill="1" applyBorder="1" applyAlignment="1">
      <alignment horizontal="left" vertical="center"/>
    </xf>
    <xf numFmtId="203" fontId="108" fillId="23" borderId="49" xfId="9" applyNumberFormat="1" applyFont="1" applyFill="1" applyBorder="1" applyAlignment="1">
      <alignment horizontal="left" vertical="center"/>
    </xf>
    <xf numFmtId="203" fontId="108" fillId="23" borderId="9" xfId="9" applyNumberFormat="1" applyFont="1" applyFill="1" applyBorder="1" applyAlignment="1">
      <alignment horizontal="left" vertical="center"/>
    </xf>
    <xf numFmtId="203" fontId="108" fillId="23" borderId="50" xfId="9" applyNumberFormat="1" applyFont="1" applyFill="1" applyBorder="1" applyAlignment="1">
      <alignment horizontal="left" vertical="center"/>
    </xf>
    <xf numFmtId="201" fontId="109" fillId="17" borderId="140" xfId="13" applyNumberFormat="1" applyFont="1" applyFill="1" applyBorder="1" applyAlignment="1">
      <alignment horizontal="center" vertical="justify"/>
    </xf>
    <xf numFmtId="201" fontId="109" fillId="17" borderId="141" xfId="13" applyNumberFormat="1" applyFont="1" applyFill="1" applyBorder="1" applyAlignment="1">
      <alignment horizontal="center" vertical="justify"/>
    </xf>
    <xf numFmtId="0" fontId="113" fillId="3" borderId="88" xfId="0" applyFont="1" applyFill="1" applyBorder="1" applyAlignment="1">
      <alignment horizontal="center" vertical="center"/>
    </xf>
    <xf numFmtId="0" fontId="113" fillId="3" borderId="107" xfId="0" applyFont="1" applyFill="1" applyBorder="1" applyAlignment="1">
      <alignment horizontal="center" vertical="center"/>
    </xf>
    <xf numFmtId="0" fontId="6" fillId="0" borderId="244" xfId="0" applyFont="1" applyBorder="1" applyAlignment="1">
      <alignment horizontal="center" vertical="center" shrinkToFit="1"/>
    </xf>
    <xf numFmtId="0" fontId="6" fillId="0" borderId="245" xfId="0" applyFont="1" applyBorder="1" applyAlignment="1">
      <alignment horizontal="center" vertical="center" shrinkToFit="1"/>
    </xf>
    <xf numFmtId="38" fontId="6" fillId="5" borderId="86" xfId="2" applyFont="1" applyFill="1" applyBorder="1" applyAlignment="1">
      <alignment horizontal="center" vertical="center"/>
    </xf>
    <xf numFmtId="38" fontId="6" fillId="5" borderId="87" xfId="2" applyFont="1" applyFill="1" applyBorder="1" applyAlignment="1">
      <alignment horizontal="center" vertical="center"/>
    </xf>
    <xf numFmtId="38" fontId="6" fillId="5" borderId="91" xfId="2" applyFont="1" applyFill="1" applyBorder="1" applyAlignment="1">
      <alignment horizontal="right" vertical="center"/>
    </xf>
    <xf numFmtId="38" fontId="6" fillId="5" borderId="106" xfId="2" applyFont="1" applyFill="1" applyBorder="1" applyAlignment="1">
      <alignment horizontal="right" vertical="center"/>
    </xf>
    <xf numFmtId="38" fontId="6" fillId="5" borderId="88" xfId="2" applyFont="1" applyFill="1" applyBorder="1" applyAlignment="1">
      <alignment horizontal="right" vertical="center"/>
    </xf>
    <xf numFmtId="38" fontId="6" fillId="5" borderId="107" xfId="2" applyFont="1" applyFill="1" applyBorder="1" applyAlignment="1">
      <alignment horizontal="right" vertical="center"/>
    </xf>
    <xf numFmtId="38" fontId="6" fillId="5" borderId="47" xfId="2" applyFont="1" applyFill="1" applyBorder="1" applyAlignment="1">
      <alignment horizontal="right" vertical="center"/>
    </xf>
    <xf numFmtId="38" fontId="6" fillId="5" borderId="49" xfId="2" applyFont="1" applyFill="1" applyBorder="1" applyAlignment="1">
      <alignment horizontal="right" vertical="center"/>
    </xf>
    <xf numFmtId="38" fontId="113" fillId="5" borderId="246" xfId="2" applyFont="1" applyFill="1" applyBorder="1" applyAlignment="1">
      <alignment horizontal="right" vertical="center"/>
    </xf>
    <xf numFmtId="38" fontId="113" fillId="5" borderId="119" xfId="2" applyFont="1" applyFill="1" applyBorder="1" applyAlignment="1">
      <alignment horizontal="right" vertical="center"/>
    </xf>
    <xf numFmtId="201" fontId="109" fillId="17" borderId="179" xfId="13" applyNumberFormat="1" applyFont="1" applyFill="1" applyBorder="1" applyAlignment="1">
      <alignment horizontal="center" vertical="justify"/>
    </xf>
    <xf numFmtId="201" fontId="109" fillId="17" borderId="0" xfId="13" applyNumberFormat="1" applyFont="1" applyFill="1" applyAlignment="1">
      <alignment horizontal="center" vertical="justify"/>
    </xf>
    <xf numFmtId="0" fontId="6" fillId="3" borderId="48" xfId="0" applyFont="1" applyFill="1" applyBorder="1">
      <alignment vertical="center"/>
    </xf>
    <xf numFmtId="0" fontId="6" fillId="3" borderId="49" xfId="0" applyFont="1" applyFill="1" applyBorder="1">
      <alignment vertical="center"/>
    </xf>
    <xf numFmtId="0" fontId="113" fillId="0" borderId="47" xfId="0" applyFont="1" applyBorder="1" applyAlignment="1">
      <alignment horizontal="left" vertical="center"/>
    </xf>
    <xf numFmtId="0" fontId="113" fillId="0" borderId="48" xfId="0" applyFont="1" applyBorder="1" applyAlignment="1">
      <alignment horizontal="left" vertical="center"/>
    </xf>
    <xf numFmtId="38" fontId="6" fillId="23" borderId="47" xfId="2" applyFont="1" applyFill="1" applyBorder="1" applyAlignment="1">
      <alignment horizontal="left" vertical="center"/>
    </xf>
    <xf numFmtId="38" fontId="6" fillId="23" borderId="48" xfId="2" applyFont="1" applyFill="1" applyBorder="1" applyAlignment="1">
      <alignment horizontal="left" vertical="center"/>
    </xf>
    <xf numFmtId="38" fontId="6" fillId="23" borderId="49" xfId="2" applyFont="1" applyFill="1" applyBorder="1" applyAlignment="1">
      <alignment horizontal="left" vertical="center"/>
    </xf>
    <xf numFmtId="0" fontId="102" fillId="0" borderId="0" xfId="6" applyFont="1" applyAlignment="1">
      <alignment horizontal="left" vertical="center"/>
    </xf>
    <xf numFmtId="0" fontId="7" fillId="0" borderId="0" xfId="6" applyFont="1" applyAlignment="1">
      <alignment horizontal="center" vertical="center"/>
    </xf>
    <xf numFmtId="38" fontId="6" fillId="5" borderId="246" xfId="2" applyFont="1" applyFill="1" applyBorder="1" applyAlignment="1">
      <alignment horizontal="right" vertical="center"/>
    </xf>
    <xf numFmtId="38" fontId="6" fillId="5" borderId="119" xfId="2" applyFont="1" applyFill="1" applyBorder="1" applyAlignment="1">
      <alignment horizontal="right" vertical="center"/>
    </xf>
    <xf numFmtId="0" fontId="132" fillId="0" borderId="0" xfId="6" applyFont="1" applyAlignment="1">
      <alignment vertical="center" wrapText="1"/>
    </xf>
    <xf numFmtId="0" fontId="13" fillId="0" borderId="0" xfId="6" applyFont="1" applyAlignment="1">
      <alignment vertical="center" wrapText="1"/>
    </xf>
    <xf numFmtId="38" fontId="6" fillId="23" borderId="9" xfId="2" applyFont="1" applyFill="1" applyBorder="1" applyAlignment="1">
      <alignment horizontal="left" vertical="center"/>
    </xf>
    <xf numFmtId="38" fontId="6" fillId="23" borderId="6" xfId="2" applyFont="1" applyFill="1" applyBorder="1" applyAlignment="1">
      <alignment horizontal="left" vertical="center"/>
    </xf>
    <xf numFmtId="38" fontId="6" fillId="23" borderId="50" xfId="2" applyFont="1" applyFill="1" applyBorder="1" applyAlignment="1">
      <alignment horizontal="left" vertical="center"/>
    </xf>
    <xf numFmtId="203" fontId="112" fillId="0" borderId="143" xfId="9" applyNumberFormat="1" applyFont="1" applyBorder="1" applyAlignment="1">
      <alignment horizontal="center" vertical="center"/>
    </xf>
    <xf numFmtId="203" fontId="112" fillId="0" borderId="197" xfId="9" applyNumberFormat="1" applyFont="1" applyBorder="1" applyAlignment="1">
      <alignment horizontal="center" vertical="center"/>
    </xf>
    <xf numFmtId="0" fontId="106" fillId="3" borderId="142" xfId="0" applyFont="1" applyFill="1" applyBorder="1" applyAlignment="1">
      <alignment horizontal="center" vertical="center" shrinkToFit="1"/>
    </xf>
    <xf numFmtId="0" fontId="106" fillId="3" borderId="195" xfId="0" applyFont="1" applyFill="1" applyBorder="1" applyAlignment="1">
      <alignment horizontal="center" vertical="center" shrinkToFit="1"/>
    </xf>
    <xf numFmtId="0" fontId="106" fillId="3" borderId="198" xfId="0" applyFont="1" applyFill="1" applyBorder="1" applyAlignment="1">
      <alignment horizontal="center" vertical="center" shrinkToFit="1"/>
    </xf>
    <xf numFmtId="203" fontId="112" fillId="0" borderId="37" xfId="9" applyNumberFormat="1" applyFont="1" applyBorder="1" applyAlignment="1">
      <alignment horizontal="center" vertical="center"/>
    </xf>
    <xf numFmtId="0" fontId="0" fillId="0" borderId="38" xfId="0" applyBorder="1" applyAlignment="1">
      <alignment horizontal="center" vertical="center"/>
    </xf>
    <xf numFmtId="203" fontId="112" fillId="0" borderId="65"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2" fillId="3" borderId="21" xfId="9" applyFont="1" applyFill="1" applyBorder="1" applyAlignment="1">
      <alignment horizontal="center" vertical="center" wrapText="1" shrinkToFit="1" readingOrder="1"/>
    </xf>
    <xf numFmtId="0" fontId="112" fillId="3" borderId="22" xfId="9" applyFont="1" applyFill="1" applyBorder="1" applyAlignment="1">
      <alignment horizontal="center" vertical="center" wrapText="1" shrinkToFit="1" readingOrder="1"/>
    </xf>
    <xf numFmtId="0" fontId="112" fillId="3" borderId="47" xfId="9" applyFont="1" applyFill="1" applyBorder="1" applyAlignment="1">
      <alignment horizontal="center" vertical="center" wrapText="1" shrinkToFit="1" readingOrder="1"/>
    </xf>
    <xf numFmtId="0" fontId="112" fillId="3" borderId="49" xfId="9" applyFont="1" applyFill="1" applyBorder="1" applyAlignment="1">
      <alignment horizontal="center" vertical="center" wrapText="1" shrinkToFit="1" readingOrder="1"/>
    </xf>
    <xf numFmtId="0" fontId="112" fillId="3" borderId="196" xfId="9" applyFont="1" applyFill="1" applyBorder="1" applyAlignment="1">
      <alignment horizontal="center" vertical="center" wrapText="1" shrinkToFit="1" readingOrder="1"/>
    </xf>
    <xf numFmtId="0" fontId="13" fillId="0" borderId="0" xfId="6" applyFont="1" applyAlignment="1">
      <alignment horizontal="left" vertical="top" wrapText="1"/>
    </xf>
    <xf numFmtId="0" fontId="13" fillId="0" borderId="0" xfId="6" applyFont="1" applyAlignment="1">
      <alignment horizontal="left" vertical="top"/>
    </xf>
    <xf numFmtId="0" fontId="124" fillId="0" borderId="51" xfId="5" applyFont="1" applyBorder="1" applyAlignment="1">
      <alignment horizontal="center" vertical="center"/>
    </xf>
    <xf numFmtId="0" fontId="124" fillId="0" borderId="3" xfId="5" applyFont="1" applyBorder="1" applyAlignment="1">
      <alignment horizontal="center" vertical="center"/>
    </xf>
    <xf numFmtId="0" fontId="124" fillId="0" borderId="46" xfId="5" applyFont="1" applyBorder="1" applyAlignment="1">
      <alignment horizontal="left" vertical="top"/>
    </xf>
    <xf numFmtId="0" fontId="122" fillId="0" borderId="51" xfId="5" applyFont="1" applyBorder="1" applyAlignment="1">
      <alignment horizontal="left" vertical="top" wrapText="1"/>
    </xf>
    <xf numFmtId="0" fontId="122" fillId="0" borderId="7" xfId="5" applyFont="1" applyBorder="1" applyAlignment="1">
      <alignment horizontal="left" vertical="top" wrapText="1"/>
    </xf>
    <xf numFmtId="0" fontId="122" fillId="0" borderId="3" xfId="5" applyFont="1" applyBorder="1" applyAlignment="1">
      <alignment horizontal="left" vertical="top" wrapText="1"/>
    </xf>
    <xf numFmtId="0" fontId="122" fillId="0" borderId="51" xfId="5" applyFont="1" applyBorder="1" applyAlignment="1">
      <alignment vertical="top" wrapText="1"/>
    </xf>
    <xf numFmtId="0" fontId="122" fillId="0" borderId="7" xfId="5" applyFont="1" applyBorder="1" applyAlignment="1">
      <alignment vertical="top" wrapText="1"/>
    </xf>
    <xf numFmtId="0" fontId="122" fillId="0" borderId="3" xfId="5" applyFont="1" applyBorder="1" applyAlignment="1">
      <alignment vertical="top" wrapText="1"/>
    </xf>
    <xf numFmtId="0" fontId="122" fillId="0" borderId="51" xfId="5" applyFont="1" applyBorder="1" applyAlignment="1">
      <alignment vertical="center" wrapText="1"/>
    </xf>
    <xf numFmtId="0" fontId="122" fillId="0" borderId="7" xfId="5" applyFont="1" applyBorder="1" applyAlignment="1">
      <alignment vertical="center" wrapText="1"/>
    </xf>
    <xf numFmtId="0" fontId="122" fillId="0" borderId="3" xfId="5" applyFont="1" applyBorder="1" applyAlignment="1">
      <alignment vertical="center" wrapText="1"/>
    </xf>
    <xf numFmtId="0" fontId="122" fillId="20" borderId="51" xfId="5" applyFont="1" applyFill="1" applyBorder="1" applyAlignment="1">
      <alignment horizontal="center" vertical="center"/>
    </xf>
    <xf numFmtId="0" fontId="122" fillId="20" borderId="7" xfId="5" applyFont="1" applyFill="1" applyBorder="1" applyAlignment="1">
      <alignment horizontal="center" vertical="center"/>
    </xf>
    <xf numFmtId="0" fontId="122" fillId="20" borderId="3" xfId="5" applyFont="1" applyFill="1" applyBorder="1" applyAlignment="1">
      <alignment horizontal="center" vertical="center"/>
    </xf>
    <xf numFmtId="0" fontId="122" fillId="0" borderId="51" xfId="5" applyFont="1" applyBorder="1" applyAlignment="1">
      <alignment horizontal="left" vertical="center" wrapText="1"/>
    </xf>
    <xf numFmtId="0" fontId="122" fillId="0" borderId="7" xfId="5" applyFont="1" applyBorder="1" applyAlignment="1">
      <alignment horizontal="left" vertical="center" wrapText="1"/>
    </xf>
    <xf numFmtId="0" fontId="122" fillId="0" borderId="3" xfId="5" applyFont="1" applyBorder="1" applyAlignment="1">
      <alignment horizontal="left" vertical="center" wrapText="1"/>
    </xf>
    <xf numFmtId="0" fontId="122" fillId="20" borderId="51" xfId="5" applyFont="1" applyFill="1" applyBorder="1" applyAlignment="1">
      <alignment horizontal="center" vertical="center" wrapText="1"/>
    </xf>
    <xf numFmtId="0" fontId="122" fillId="20" borderId="7" xfId="5" applyFont="1" applyFill="1" applyBorder="1" applyAlignment="1">
      <alignment horizontal="center" vertical="center" wrapText="1"/>
    </xf>
    <xf numFmtId="0" fontId="122" fillId="20" borderId="3" xfId="5" applyFont="1" applyFill="1" applyBorder="1" applyAlignment="1">
      <alignment horizontal="center" vertical="center" wrapText="1"/>
    </xf>
    <xf numFmtId="0" fontId="122" fillId="0" borderId="47" xfId="5" applyFont="1" applyBorder="1" applyAlignment="1">
      <alignment horizontal="center" vertical="center" wrapText="1"/>
    </xf>
    <xf numFmtId="0" fontId="122" fillId="0" borderId="49" xfId="5" applyFont="1" applyBorder="1" applyAlignment="1">
      <alignment horizontal="center" vertical="center" wrapText="1"/>
    </xf>
    <xf numFmtId="0" fontId="124" fillId="0" borderId="46" xfId="5" applyFont="1" applyBorder="1" applyAlignment="1">
      <alignment vertical="top"/>
    </xf>
    <xf numFmtId="0" fontId="122" fillId="0" borderId="46" xfId="5" applyFont="1" applyBorder="1" applyAlignment="1">
      <alignment horizontal="left" vertical="top" wrapText="1"/>
    </xf>
    <xf numFmtId="0" fontId="124" fillId="0" borderId="46" xfId="5" applyFont="1" applyBorder="1" applyAlignment="1">
      <alignment horizontal="center" vertical="center"/>
    </xf>
    <xf numFmtId="0" fontId="122" fillId="0" borderId="51" xfId="5" applyFont="1" applyBorder="1" applyAlignment="1">
      <alignment horizontal="center" vertical="center" wrapText="1"/>
    </xf>
    <xf numFmtId="0" fontId="122" fillId="0" borderId="46" xfId="5" applyFont="1" applyBorder="1" applyAlignment="1">
      <alignment horizontal="center" vertical="center" wrapText="1"/>
    </xf>
    <xf numFmtId="0" fontId="122" fillId="0" borderId="9" xfId="5" applyFont="1" applyBorder="1" applyAlignment="1">
      <alignment horizontal="center" vertical="center" wrapText="1"/>
    </xf>
    <xf numFmtId="0" fontId="122" fillId="0" borderId="5" xfId="5" applyFont="1" applyBorder="1" applyAlignment="1">
      <alignment horizontal="center" vertical="center" wrapText="1"/>
    </xf>
    <xf numFmtId="0" fontId="122" fillId="0" borderId="9" xfId="5" applyFont="1" applyBorder="1" applyAlignment="1">
      <alignment vertical="top"/>
    </xf>
    <xf numFmtId="0" fontId="122" fillId="0" borderId="50" xfId="5" applyFont="1" applyBorder="1" applyAlignment="1">
      <alignment vertical="top"/>
    </xf>
    <xf numFmtId="0" fontId="122" fillId="0" borderId="11" xfId="5" applyFont="1" applyBorder="1" applyAlignment="1">
      <alignment vertical="top"/>
    </xf>
    <xf numFmtId="0" fontId="122" fillId="0" borderId="8" xfId="5" applyFont="1" applyBorder="1" applyAlignment="1">
      <alignment vertical="top"/>
    </xf>
    <xf numFmtId="0" fontId="122" fillId="0" borderId="5" xfId="5" applyFont="1" applyBorder="1" applyAlignment="1">
      <alignment vertical="top"/>
    </xf>
    <xf numFmtId="0" fontId="122" fillId="0" borderId="13" xfId="5" applyFont="1" applyBorder="1" applyAlignment="1">
      <alignment vertical="top"/>
    </xf>
    <xf numFmtId="0" fontId="123" fillId="20" borderId="51" xfId="5" applyFont="1" applyFill="1" applyBorder="1" applyAlignment="1">
      <alignment horizontal="center" vertical="center" wrapText="1"/>
    </xf>
    <xf numFmtId="0" fontId="123" fillId="20" borderId="3" xfId="5" applyFont="1" applyFill="1" applyBorder="1" applyAlignment="1">
      <alignment horizontal="center" vertical="center" wrapText="1"/>
    </xf>
    <xf numFmtId="0" fontId="122" fillId="0" borderId="50" xfId="5" applyFont="1" applyBorder="1" applyAlignment="1">
      <alignment horizontal="left" vertical="top" wrapText="1"/>
    </xf>
    <xf numFmtId="0" fontId="122" fillId="0" borderId="8" xfId="5" applyFont="1" applyBorder="1" applyAlignment="1">
      <alignment horizontal="left" vertical="top" wrapText="1"/>
    </xf>
    <xf numFmtId="0" fontId="122" fillId="0" borderId="13" xfId="5" applyFont="1" applyBorder="1" applyAlignment="1">
      <alignment horizontal="left" vertical="top" wrapText="1"/>
    </xf>
    <xf numFmtId="0" fontId="122" fillId="0" borderId="47" xfId="5" applyFont="1" applyBorder="1" applyAlignment="1">
      <alignment horizontal="left" vertical="top" wrapText="1"/>
    </xf>
    <xf numFmtId="0" fontId="122" fillId="0" borderId="49" xfId="5" applyFont="1" applyBorder="1" applyAlignment="1">
      <alignment horizontal="left" vertical="top" wrapText="1"/>
    </xf>
    <xf numFmtId="0" fontId="122" fillId="0" borderId="9" xfId="5" applyFont="1" applyBorder="1" applyAlignment="1">
      <alignment horizontal="left" vertical="top" wrapText="1"/>
    </xf>
    <xf numFmtId="0" fontId="122" fillId="0" borderId="11" xfId="5" applyFont="1" applyBorder="1" applyAlignment="1">
      <alignment horizontal="left" vertical="top" wrapText="1"/>
    </xf>
    <xf numFmtId="0" fontId="122" fillId="0" borderId="5" xfId="5" applyFont="1" applyBorder="1" applyAlignment="1">
      <alignment horizontal="left" vertical="top" wrapText="1"/>
    </xf>
    <xf numFmtId="0" fontId="122" fillId="20" borderId="9" xfId="5" applyFont="1" applyFill="1" applyBorder="1" applyAlignment="1">
      <alignment horizontal="center" vertical="center"/>
    </xf>
    <xf numFmtId="0" fontId="122" fillId="20" borderId="5" xfId="5" applyFont="1" applyFill="1" applyBorder="1" applyAlignment="1">
      <alignment horizontal="center" vertical="center"/>
    </xf>
    <xf numFmtId="0" fontId="122" fillId="0" borderId="51" xfId="5" applyFont="1" applyBorder="1" applyAlignment="1">
      <alignment horizontal="left" vertical="center"/>
    </xf>
    <xf numFmtId="0" fontId="122" fillId="0" borderId="3" xfId="5" applyFont="1" applyBorder="1" applyAlignment="1">
      <alignment horizontal="left" vertical="center"/>
    </xf>
    <xf numFmtId="0" fontId="122" fillId="0" borderId="7" xfId="5" applyFont="1" applyBorder="1" applyAlignment="1">
      <alignment horizontal="left" vertical="center"/>
    </xf>
    <xf numFmtId="0" fontId="122" fillId="0" borderId="51" xfId="5" applyFont="1" applyBorder="1" applyAlignment="1">
      <alignment horizontal="left" vertical="center" wrapText="1" shrinkToFit="1"/>
    </xf>
    <xf numFmtId="0" fontId="122" fillId="0" borderId="3" xfId="5" applyFont="1" applyBorder="1" applyAlignment="1">
      <alignment horizontal="left" vertical="center" wrapText="1" shrinkToFit="1"/>
    </xf>
    <xf numFmtId="0" fontId="121" fillId="0" borderId="0" xfId="5" applyFont="1" applyAlignment="1">
      <alignment horizontal="center" vertical="center" wrapText="1"/>
    </xf>
    <xf numFmtId="0" fontId="124" fillId="0" borderId="46" xfId="5" applyFont="1" applyBorder="1" applyAlignment="1">
      <alignment vertical="top" wrapText="1"/>
    </xf>
    <xf numFmtId="0" fontId="122" fillId="0" borderId="51" xfId="5" applyFont="1" applyBorder="1" applyAlignment="1">
      <alignment horizontal="left" vertical="top"/>
    </xf>
    <xf numFmtId="0" fontId="122" fillId="0" borderId="7" xfId="5" applyFont="1" applyBorder="1" applyAlignment="1">
      <alignment horizontal="left" vertical="top"/>
    </xf>
    <xf numFmtId="0" fontId="122" fillId="0" borderId="3" xfId="5" applyFont="1" applyBorder="1" applyAlignment="1">
      <alignment horizontal="left" vertical="top"/>
    </xf>
    <xf numFmtId="0" fontId="122" fillId="20" borderId="11" xfId="5" applyFont="1" applyFill="1" applyBorder="1" applyAlignment="1">
      <alignment horizontal="center" vertical="center"/>
    </xf>
    <xf numFmtId="0" fontId="122" fillId="0" borderId="51" xfId="5" applyFont="1" applyBorder="1">
      <alignment vertical="center"/>
    </xf>
    <xf numFmtId="0" fontId="122" fillId="0" borderId="3" xfId="5" applyFont="1" applyBorder="1">
      <alignment vertical="center"/>
    </xf>
    <xf numFmtId="0" fontId="13" fillId="0" borderId="47" xfId="17" applyFont="1" applyBorder="1" applyAlignment="1">
      <alignment horizontal="left" vertical="center" wrapText="1"/>
    </xf>
    <xf numFmtId="0" fontId="13" fillId="0" borderId="48" xfId="17" applyFont="1" applyBorder="1" applyAlignment="1">
      <alignment horizontal="left" vertical="center" wrapText="1"/>
    </xf>
    <xf numFmtId="0" fontId="13" fillId="0" borderId="49" xfId="17" applyFont="1" applyBorder="1" applyAlignment="1">
      <alignment horizontal="left" vertical="center" wrapText="1"/>
    </xf>
    <xf numFmtId="0" fontId="13" fillId="0" borderId="47" xfId="17" applyFont="1" applyBorder="1" applyAlignment="1">
      <alignment horizontal="center" vertical="center" wrapText="1"/>
    </xf>
    <xf numFmtId="0" fontId="13" fillId="0" borderId="48" xfId="17" applyFont="1" applyBorder="1" applyAlignment="1">
      <alignment horizontal="center" vertical="center" wrapText="1"/>
    </xf>
    <xf numFmtId="0" fontId="13" fillId="0" borderId="49" xfId="17" applyFont="1" applyBorder="1" applyAlignment="1">
      <alignment horizontal="center" vertical="center" wrapText="1"/>
    </xf>
    <xf numFmtId="0" fontId="5" fillId="0" borderId="46" xfId="13" applyFont="1" applyBorder="1" applyAlignment="1">
      <alignment shrinkToFit="1"/>
    </xf>
    <xf numFmtId="0" fontId="5" fillId="0" borderId="51" xfId="9" applyFont="1" applyBorder="1" applyAlignment="1">
      <alignment horizontal="left" vertical="center" shrinkToFit="1"/>
    </xf>
    <xf numFmtId="38" fontId="5" fillId="4" borderId="192" xfId="2" applyFont="1" applyFill="1" applyBorder="1" applyAlignment="1">
      <alignment horizontal="right" vertical="center" wrapText="1"/>
    </xf>
    <xf numFmtId="38" fontId="5" fillId="4" borderId="193" xfId="2" applyFont="1" applyFill="1" applyBorder="1" applyAlignment="1">
      <alignment horizontal="right" vertical="center" wrapText="1"/>
    </xf>
    <xf numFmtId="0" fontId="5" fillId="0" borderId="194" xfId="9" applyFont="1" applyBorder="1" applyAlignment="1">
      <alignment horizontal="left" vertical="center" shrinkToFit="1"/>
    </xf>
    <xf numFmtId="38" fontId="5" fillId="4" borderId="114" xfId="2" applyFont="1" applyFill="1" applyBorder="1" applyAlignment="1">
      <alignment horizontal="right" vertical="center" shrinkToFit="1" readingOrder="1"/>
    </xf>
    <xf numFmtId="38" fontId="5" fillId="4" borderId="115" xfId="2" applyFont="1" applyFill="1" applyBorder="1" applyAlignment="1">
      <alignment horizontal="right" vertical="center" shrinkToFit="1" readingOrder="1"/>
    </xf>
    <xf numFmtId="0" fontId="5" fillId="0" borderId="46" xfId="13" applyFont="1" applyBorder="1"/>
    <xf numFmtId="38" fontId="5" fillId="4" borderId="47" xfId="2" applyFont="1" applyFill="1" applyBorder="1" applyAlignment="1">
      <alignment horizontal="right" vertical="center" wrapText="1"/>
    </xf>
    <xf numFmtId="38" fontId="5" fillId="4" borderId="49" xfId="2" applyFont="1" applyFill="1" applyBorder="1" applyAlignment="1">
      <alignment horizontal="right" vertical="center" wrapText="1"/>
    </xf>
    <xf numFmtId="38" fontId="5" fillId="4" borderId="86" xfId="2" applyFont="1" applyFill="1" applyBorder="1" applyAlignment="1">
      <alignment horizontal="right" vertical="center" wrapText="1"/>
    </xf>
    <xf numFmtId="38" fontId="5" fillId="4" borderId="87" xfId="2" applyFont="1" applyFill="1" applyBorder="1" applyAlignment="1">
      <alignment horizontal="right" vertical="center" wrapText="1"/>
    </xf>
    <xf numFmtId="0" fontId="5" fillId="7" borderId="47" xfId="13" applyFont="1" applyFill="1" applyBorder="1" applyAlignment="1">
      <alignment vertical="center" wrapText="1"/>
    </xf>
    <xf numFmtId="0" fontId="5" fillId="7" borderId="48" xfId="13" applyFont="1" applyFill="1" applyBorder="1" applyAlignment="1">
      <alignment vertical="center" wrapText="1"/>
    </xf>
    <xf numFmtId="0" fontId="6" fillId="0" borderId="181" xfId="13" applyFont="1" applyBorder="1" applyAlignment="1">
      <alignment vertical="center"/>
    </xf>
    <xf numFmtId="0" fontId="6" fillId="0" borderId="182" xfId="13" applyFont="1" applyBorder="1" applyAlignment="1">
      <alignment vertical="center"/>
    </xf>
    <xf numFmtId="0" fontId="6" fillId="0" borderId="183" xfId="13" applyFont="1" applyBorder="1" applyAlignment="1">
      <alignment vertical="center"/>
    </xf>
    <xf numFmtId="0" fontId="113" fillId="0" borderId="12" xfId="13" applyFont="1" applyBorder="1" applyAlignment="1">
      <alignment horizontal="left" vertical="center" shrinkToFit="1"/>
    </xf>
    <xf numFmtId="0" fontId="5" fillId="2" borderId="46" xfId="9" applyFont="1" applyFill="1" applyBorder="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9" xfId="9" applyFont="1" applyFill="1" applyBorder="1" applyAlignment="1">
      <alignment horizontal="center" vertical="center" wrapText="1" shrinkToFit="1" readingOrder="1"/>
    </xf>
    <xf numFmtId="0" fontId="5" fillId="2" borderId="48" xfId="9" applyFont="1" applyFill="1" applyBorder="1" applyAlignment="1">
      <alignment horizontal="center" vertical="center" wrapText="1" shrinkToFit="1" readingOrder="1"/>
    </xf>
    <xf numFmtId="0" fontId="5" fillId="2" borderId="47" xfId="17" applyFont="1" applyFill="1" applyBorder="1" applyAlignment="1">
      <alignment horizontal="center" vertical="center" wrapText="1"/>
    </xf>
    <xf numFmtId="0" fontId="5" fillId="2" borderId="49" xfId="17" applyFont="1" applyFill="1" applyBorder="1" applyAlignment="1">
      <alignment horizontal="center" vertical="center" wrapText="1"/>
    </xf>
    <xf numFmtId="0" fontId="5" fillId="7" borderId="171" xfId="13" applyFont="1" applyFill="1" applyBorder="1" applyAlignment="1">
      <alignment vertical="center" wrapText="1"/>
    </xf>
    <xf numFmtId="0" fontId="5" fillId="7" borderId="172" xfId="13" applyFont="1" applyFill="1" applyBorder="1" applyAlignment="1">
      <alignment vertical="center" wrapText="1"/>
    </xf>
    <xf numFmtId="0" fontId="5" fillId="7" borderId="177" xfId="13" applyFont="1" applyFill="1" applyBorder="1" applyAlignment="1">
      <alignment vertical="center" wrapText="1"/>
    </xf>
    <xf numFmtId="0" fontId="5" fillId="7" borderId="178" xfId="13" applyFont="1" applyFill="1" applyBorder="1" applyAlignment="1">
      <alignment vertical="center" wrapText="1"/>
    </xf>
    <xf numFmtId="0" fontId="6" fillId="0" borderId="12" xfId="6" applyFont="1" applyBorder="1" applyAlignment="1">
      <alignment horizontal="left" vertical="center"/>
    </xf>
    <xf numFmtId="0" fontId="13" fillId="0" borderId="0" xfId="6" applyFont="1">
      <alignment vertical="center"/>
    </xf>
    <xf numFmtId="0" fontId="6" fillId="2" borderId="102" xfId="13" applyFont="1" applyFill="1" applyBorder="1" applyAlignment="1">
      <alignment horizontal="center" vertical="center" wrapText="1"/>
    </xf>
    <xf numFmtId="0" fontId="6" fillId="2" borderId="103" xfId="13" applyFont="1" applyFill="1" applyBorder="1" applyAlignment="1">
      <alignment horizontal="center" vertical="center" wrapText="1"/>
    </xf>
    <xf numFmtId="0" fontId="5" fillId="7" borderId="5" xfId="13" applyFont="1" applyFill="1" applyBorder="1" applyAlignment="1">
      <alignment vertical="center" wrapText="1"/>
    </xf>
    <xf numFmtId="0" fontId="5" fillId="7" borderId="12" xfId="13" applyFont="1" applyFill="1" applyBorder="1" applyAlignment="1">
      <alignment vertical="center" wrapText="1"/>
    </xf>
    <xf numFmtId="0" fontId="10" fillId="0" borderId="5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72" fillId="0" borderId="47" xfId="0" applyFont="1" applyBorder="1" applyAlignment="1">
      <alignment horizontal="left" vertical="center"/>
    </xf>
    <xf numFmtId="0" fontId="72" fillId="0" borderId="48" xfId="0" applyFont="1" applyBorder="1" applyAlignment="1">
      <alignment horizontal="left"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4" fillId="0" borderId="3" xfId="0" applyFont="1" applyBorder="1" applyAlignment="1">
      <alignment vertical="center" wrapText="1"/>
    </xf>
    <xf numFmtId="0" fontId="4" fillId="0" borderId="46" xfId="0" applyFont="1" applyBorder="1" applyAlignment="1">
      <alignment vertical="center" wrapText="1"/>
    </xf>
    <xf numFmtId="0" fontId="4" fillId="15" borderId="3" xfId="0" applyFont="1" applyFill="1" applyBorder="1" applyAlignment="1">
      <alignment vertical="center" wrapText="1"/>
    </xf>
    <xf numFmtId="0" fontId="4" fillId="15" borderId="46" xfId="0" applyFont="1" applyFill="1" applyBorder="1" applyAlignment="1">
      <alignment vertical="center" wrapText="1"/>
    </xf>
    <xf numFmtId="0" fontId="4" fillId="15" borderId="0" xfId="0" applyFont="1" applyFill="1" applyAlignment="1">
      <alignment vertical="center" wrapText="1"/>
    </xf>
    <xf numFmtId="0" fontId="73" fillId="3" borderId="50" xfId="0" applyFont="1" applyFill="1" applyBorder="1" applyAlignment="1">
      <alignment vertical="center" wrapText="1"/>
    </xf>
    <xf numFmtId="0" fontId="73" fillId="3" borderId="8" xfId="0" applyFont="1" applyFill="1" applyBorder="1" applyAlignment="1">
      <alignment vertical="center" wrapText="1"/>
    </xf>
    <xf numFmtId="0" fontId="73" fillId="3" borderId="13" xfId="0" applyFont="1" applyFill="1" applyBorder="1" applyAlignment="1">
      <alignment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72" fillId="0" borderId="47" xfId="0" applyFont="1" applyBorder="1" applyAlignment="1">
      <alignment vertical="center" wrapText="1"/>
    </xf>
    <xf numFmtId="0" fontId="72" fillId="0" borderId="48" xfId="0" applyFont="1" applyBorder="1" applyAlignment="1">
      <alignment vertical="center" wrapText="1"/>
    </xf>
    <xf numFmtId="0" fontId="0" fillId="0" borderId="48" xfId="0" applyBorder="1" applyAlignment="1">
      <alignment vertical="center" wrapText="1"/>
    </xf>
    <xf numFmtId="0" fontId="66" fillId="0" borderId="48" xfId="0" applyFont="1" applyBorder="1" applyAlignment="1">
      <alignment horizontal="left" vertical="center"/>
    </xf>
    <xf numFmtId="0" fontId="72" fillId="0" borderId="9" xfId="0" applyFont="1" applyBorder="1" applyAlignment="1">
      <alignment horizontal="left" vertical="center" wrapText="1"/>
    </xf>
    <xf numFmtId="0" fontId="72" fillId="0" borderId="6" xfId="0" applyFont="1" applyBorder="1" applyAlignment="1">
      <alignment horizontal="left" vertical="center" wrapText="1"/>
    </xf>
    <xf numFmtId="0" fontId="72" fillId="0" borderId="50" xfId="0" applyFont="1" applyBorder="1" applyAlignment="1">
      <alignment horizontal="left" vertical="center" wrapText="1"/>
    </xf>
    <xf numFmtId="0" fontId="4" fillId="15" borderId="46" xfId="0" applyFont="1" applyFill="1" applyBorder="1" applyAlignment="1">
      <alignment horizontal="center" vertical="top"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4" fillId="3" borderId="3" xfId="0" applyFont="1" applyFill="1" applyBorder="1" applyAlignment="1">
      <alignment vertical="center" wrapText="1"/>
    </xf>
    <xf numFmtId="0" fontId="4" fillId="3" borderId="46" xfId="0" applyFont="1" applyFill="1" applyBorder="1" applyAlignment="1">
      <alignment vertical="center" wrapText="1"/>
    </xf>
    <xf numFmtId="0" fontId="4" fillId="13" borderId="47" xfId="0" applyFont="1" applyFill="1" applyBorder="1" applyAlignment="1">
      <alignment vertical="center" wrapText="1"/>
    </xf>
    <xf numFmtId="0" fontId="4" fillId="13" borderId="3" xfId="0" applyFont="1" applyFill="1" applyBorder="1" applyAlignment="1">
      <alignment vertical="center" wrapText="1"/>
    </xf>
    <xf numFmtId="0" fontId="4" fillId="14" borderId="46" xfId="0" applyFont="1" applyFill="1" applyBorder="1" applyAlignment="1">
      <alignment vertical="center" wrapText="1"/>
    </xf>
    <xf numFmtId="0" fontId="4" fillId="13" borderId="51" xfId="0" applyFont="1" applyFill="1" applyBorder="1" applyAlignment="1">
      <alignment vertical="center" wrapText="1"/>
    </xf>
    <xf numFmtId="0" fontId="76" fillId="14" borderId="5" xfId="0" applyFont="1" applyFill="1" applyBorder="1" applyAlignment="1">
      <alignment vertical="center" wrapText="1"/>
    </xf>
    <xf numFmtId="0" fontId="76" fillId="14" borderId="47" xfId="0" applyFont="1" applyFill="1" applyBorder="1" applyAlignment="1">
      <alignment vertical="center" wrapText="1"/>
    </xf>
    <xf numFmtId="0" fontId="76" fillId="14" borderId="46" xfId="0" applyFont="1" applyFill="1" applyBorder="1" applyAlignment="1">
      <alignment vertical="center" wrapText="1"/>
    </xf>
    <xf numFmtId="0" fontId="76" fillId="14" borderId="51" xfId="0" applyFont="1" applyFill="1" applyBorder="1" applyAlignment="1">
      <alignment vertical="center" wrapText="1"/>
    </xf>
    <xf numFmtId="0" fontId="4" fillId="13" borderId="7" xfId="0" applyFont="1" applyFill="1" applyBorder="1" applyAlignment="1">
      <alignment vertical="center" wrapText="1"/>
    </xf>
    <xf numFmtId="0" fontId="4" fillId="0" borderId="7" xfId="0" applyFont="1" applyBorder="1" applyAlignment="1">
      <alignment vertical="center" wrapText="1"/>
    </xf>
    <xf numFmtId="0" fontId="53" fillId="15" borderId="51" xfId="0" applyFont="1" applyFill="1" applyBorder="1" applyAlignment="1">
      <alignment vertical="center" wrapText="1"/>
    </xf>
    <xf numFmtId="0" fontId="53" fillId="15" borderId="7" xfId="0" applyFont="1" applyFill="1" applyBorder="1" applyAlignment="1">
      <alignment vertical="center" wrapText="1"/>
    </xf>
    <xf numFmtId="0" fontId="53" fillId="15" borderId="3"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15" borderId="9"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77" fillId="0" borderId="9" xfId="0" applyFont="1" applyBorder="1" applyAlignment="1">
      <alignment horizontal="left" vertical="center"/>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15" borderId="9" xfId="0" applyFont="1" applyFill="1" applyBorder="1" applyAlignment="1">
      <alignment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0" borderId="50" xfId="0"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13" xfId="0" applyBorder="1" applyAlignment="1">
      <alignment horizontal="center" vertical="center" wrapText="1"/>
    </xf>
    <xf numFmtId="0" fontId="77" fillId="0" borderId="6" xfId="0" applyFont="1" applyBorder="1" applyAlignment="1">
      <alignment horizontal="left" vertical="center"/>
    </xf>
    <xf numFmtId="0" fontId="77" fillId="0" borderId="5" xfId="0" applyFont="1" applyBorder="1" applyAlignment="1">
      <alignment horizontal="left" vertical="center"/>
    </xf>
    <xf numFmtId="0" fontId="77" fillId="0" borderId="12" xfId="0" applyFont="1" applyBorder="1" applyAlignment="1">
      <alignment horizontal="left" vertical="center"/>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15" borderId="51" xfId="0" applyFill="1" applyBorder="1" applyAlignment="1">
      <alignment horizontal="center"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4" fillId="13" borderId="9" xfId="0" applyFont="1" applyFill="1" applyBorder="1" applyAlignment="1">
      <alignment vertical="center" wrapText="1"/>
    </xf>
    <xf numFmtId="0" fontId="4" fillId="0" borderId="51" xfId="0" applyFont="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15" borderId="9" xfId="0" applyFont="1" applyFill="1" applyBorder="1" applyAlignment="1">
      <alignment horizontal="lef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4" fillId="0" borderId="47" xfId="0" applyFont="1" applyBorder="1" applyAlignment="1">
      <alignment vertical="center" wrapText="1"/>
    </xf>
    <xf numFmtId="0" fontId="4" fillId="13" borderId="11"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0" fillId="0" borderId="7" xfId="0" applyBorder="1" applyAlignment="1">
      <alignment vertical="center" wrapText="1"/>
    </xf>
    <xf numFmtId="0" fontId="0" fillId="0" borderId="3" xfId="0"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76" fillId="0" borderId="47" xfId="0" applyFont="1" applyBorder="1" applyAlignment="1">
      <alignment vertical="center" wrapText="1"/>
    </xf>
    <xf numFmtId="0" fontId="76" fillId="0" borderId="48" xfId="0" applyFont="1" applyBorder="1" applyAlignment="1">
      <alignment vertical="center" wrapText="1"/>
    </xf>
    <xf numFmtId="0" fontId="76" fillId="0" borderId="49" xfId="0" applyFont="1" applyBorder="1" applyAlignment="1">
      <alignment vertical="center" wrapText="1"/>
    </xf>
    <xf numFmtId="0" fontId="76" fillId="0" borderId="47" xfId="0" applyFont="1" applyBorder="1" applyAlignment="1">
      <alignment horizontal="left" vertical="center" wrapText="1"/>
    </xf>
    <xf numFmtId="0" fontId="76" fillId="0" borderId="48" xfId="0" applyFont="1" applyBorder="1" applyAlignment="1">
      <alignment horizontal="left" vertical="center" wrapText="1"/>
    </xf>
    <xf numFmtId="0" fontId="76" fillId="0" borderId="49" xfId="0" applyFont="1" applyBorder="1" applyAlignment="1">
      <alignment horizontal="left" vertical="center" wrapText="1"/>
    </xf>
    <xf numFmtId="0" fontId="77" fillId="0" borderId="50" xfId="0" applyFont="1" applyBorder="1" applyAlignment="1">
      <alignment horizontal="left" vertical="center"/>
    </xf>
    <xf numFmtId="0" fontId="77" fillId="0" borderId="13" xfId="0" applyFont="1" applyBorder="1" applyAlignment="1">
      <alignment horizontal="left" vertical="center"/>
    </xf>
    <xf numFmtId="0" fontId="76" fillId="15" borderId="11" xfId="0" applyFont="1" applyFill="1" applyBorder="1" applyAlignment="1">
      <alignment horizontal="center" vertical="center" wrapText="1"/>
    </xf>
    <xf numFmtId="0" fontId="76" fillId="15" borderId="8" xfId="0" applyFont="1" applyFill="1" applyBorder="1" applyAlignment="1">
      <alignment horizontal="center" vertical="center" wrapText="1"/>
    </xf>
    <xf numFmtId="0" fontId="76" fillId="15" borderId="5" xfId="0" applyFont="1" applyFill="1" applyBorder="1" applyAlignment="1">
      <alignment horizontal="center" vertical="center" wrapText="1"/>
    </xf>
    <xf numFmtId="0" fontId="76" fillId="15" borderId="13" xfId="0" applyFont="1" applyFill="1" applyBorder="1" applyAlignment="1">
      <alignment horizontal="center" vertical="center" wrapText="1"/>
    </xf>
    <xf numFmtId="0" fontId="76" fillId="13" borderId="0" xfId="0" applyFont="1" applyFill="1" applyAlignment="1">
      <alignment vertical="center" wrapText="1"/>
    </xf>
    <xf numFmtId="0" fontId="76" fillId="13" borderId="12" xfId="0" applyFont="1" applyFill="1" applyBorder="1" applyAlignment="1">
      <alignment vertical="center" wrapText="1"/>
    </xf>
    <xf numFmtId="0" fontId="76" fillId="15" borderId="51" xfId="0" applyFont="1" applyFill="1" applyBorder="1" applyAlignment="1">
      <alignment horizontal="center" vertical="center" wrapText="1"/>
    </xf>
    <xf numFmtId="0" fontId="76" fillId="15" borderId="7" xfId="0" applyFont="1" applyFill="1" applyBorder="1" applyAlignment="1">
      <alignment horizontal="center" vertical="center" wrapText="1"/>
    </xf>
    <xf numFmtId="0" fontId="76" fillId="15" borderId="3" xfId="0" applyFont="1" applyFill="1" applyBorder="1" applyAlignment="1">
      <alignment horizontal="center" vertical="center" wrapText="1"/>
    </xf>
    <xf numFmtId="0" fontId="76" fillId="13" borderId="51" xfId="0" applyFont="1"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76" fillId="13" borderId="5" xfId="0" applyFont="1" applyFill="1" applyBorder="1" applyAlignment="1">
      <alignment vertical="center" wrapText="1"/>
    </xf>
    <xf numFmtId="0" fontId="76" fillId="13" borderId="46" xfId="0" applyFont="1" applyFill="1" applyBorder="1" applyAlignment="1">
      <alignment vertical="center" wrapText="1"/>
    </xf>
    <xf numFmtId="0" fontId="53" fillId="15" borderId="51" xfId="0" applyFont="1" applyFill="1" applyBorder="1" applyAlignment="1">
      <alignment horizontal="center" vertical="top" wrapText="1"/>
    </xf>
    <xf numFmtId="0" fontId="53" fillId="15" borderId="7" xfId="0" applyFont="1" applyFill="1" applyBorder="1" applyAlignment="1">
      <alignment horizontal="center" vertical="top" wrapText="1"/>
    </xf>
    <xf numFmtId="0" fontId="53" fillId="15" borderId="3" xfId="0" applyFont="1" applyFill="1" applyBorder="1" applyAlignment="1">
      <alignment horizontal="center" vertical="top"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3" borderId="46" xfId="0" applyFont="1" applyFill="1" applyBorder="1" applyAlignment="1">
      <alignment vertical="center" wrapText="1"/>
    </xf>
    <xf numFmtId="0" fontId="4" fillId="0" borderId="48" xfId="0" applyFont="1" applyBorder="1">
      <alignment vertical="center"/>
    </xf>
    <xf numFmtId="0" fontId="76" fillId="0" borderId="0" xfId="0" applyFont="1" applyAlignment="1">
      <alignment vertical="center" wrapText="1"/>
    </xf>
    <xf numFmtId="0" fontId="53" fillId="15" borderId="51" xfId="0" applyFont="1" applyFill="1" applyBorder="1" applyAlignment="1">
      <alignment vertical="top" wrapText="1"/>
    </xf>
    <xf numFmtId="0" fontId="53" fillId="15" borderId="7" xfId="0" applyFont="1" applyFill="1" applyBorder="1" applyAlignment="1">
      <alignment vertical="top" wrapText="1"/>
    </xf>
    <xf numFmtId="0" fontId="4" fillId="0" borderId="9" xfId="0" applyFont="1" applyBorder="1" applyAlignment="1">
      <alignment vertical="center" wrapText="1"/>
    </xf>
    <xf numFmtId="0" fontId="78" fillId="0" borderId="48" xfId="0" applyFont="1" applyBorder="1" applyAlignment="1">
      <alignment horizontal="left" vertical="center" shrinkToFit="1"/>
    </xf>
    <xf numFmtId="0" fontId="0" fillId="15" borderId="46" xfId="0" applyFill="1" applyBorder="1" applyAlignment="1">
      <alignment vertical="center" wrapText="1"/>
    </xf>
    <xf numFmtId="0" fontId="4" fillId="13" borderId="5" xfId="0" applyFont="1" applyFill="1" applyBorder="1" applyAlignment="1">
      <alignment vertical="center" wrapText="1"/>
    </xf>
    <xf numFmtId="0" fontId="76" fillId="0" borderId="47" xfId="0" applyFont="1" applyBorder="1">
      <alignment vertical="center"/>
    </xf>
    <xf numFmtId="0" fontId="76" fillId="0" borderId="48" xfId="0" applyFont="1" applyBorder="1">
      <alignment vertical="center"/>
    </xf>
    <xf numFmtId="0" fontId="76" fillId="0" borderId="47" xfId="0" applyFont="1" applyBorder="1" applyAlignment="1">
      <alignment horizontal="left" vertical="center"/>
    </xf>
    <xf numFmtId="0" fontId="76" fillId="0" borderId="48" xfId="0" applyFont="1" applyBorder="1" applyAlignment="1">
      <alignment horizontal="left" vertical="center"/>
    </xf>
    <xf numFmtId="0" fontId="76" fillId="0" borderId="46" xfId="0" applyFont="1" applyBorder="1" applyAlignment="1">
      <alignmen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3" borderId="51" xfId="0"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15" borderId="1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9" xfId="0" applyFont="1" applyFill="1" applyBorder="1" applyAlignment="1">
      <alignment horizontal="left" vertical="top"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4" fillId="14" borderId="47" xfId="0" applyFont="1" applyFill="1" applyBorder="1" applyAlignment="1">
      <alignment vertical="center" wrapText="1"/>
    </xf>
    <xf numFmtId="0" fontId="76" fillId="14" borderId="3"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76" fillId="0" borderId="51" xfId="0" applyFont="1" applyBorder="1" applyAlignment="1">
      <alignment horizontal="left" vertical="center" wrapText="1"/>
    </xf>
    <xf numFmtId="0" fontId="76" fillId="0" borderId="7" xfId="0" applyFont="1" applyBorder="1" applyAlignment="1">
      <alignment horizontal="left" vertical="center" wrapText="1"/>
    </xf>
    <xf numFmtId="0" fontId="76" fillId="0" borderId="3" xfId="0" applyFont="1" applyBorder="1" applyAlignment="1">
      <alignment horizontal="left" vertical="center" wrapText="1"/>
    </xf>
    <xf numFmtId="0" fontId="4" fillId="13" borderId="9" xfId="0" applyFont="1" applyFill="1" applyBorder="1" applyAlignment="1">
      <alignment horizontal="center" vertical="center" wrapText="1" shrinkToFit="1"/>
    </xf>
    <xf numFmtId="0" fontId="4" fillId="0" borderId="51" xfId="0" applyFont="1" applyBorder="1" applyAlignment="1">
      <alignment horizontal="center" vertical="center" wrapText="1" shrinkToFit="1"/>
    </xf>
    <xf numFmtId="0" fontId="53" fillId="15" borderId="9" xfId="0" applyFont="1" applyFill="1" applyBorder="1" applyAlignment="1">
      <alignment vertical="top" wrapText="1"/>
    </xf>
    <xf numFmtId="0" fontId="53"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13" xfId="0" applyFill="1" applyBorder="1" applyAlignment="1">
      <alignment horizontal="center" vertical="center" wrapText="1"/>
    </xf>
    <xf numFmtId="0" fontId="76" fillId="15" borderId="46" xfId="0" applyFont="1" applyFill="1" applyBorder="1" applyAlignment="1">
      <alignment horizontal="center" vertical="center" wrapText="1"/>
    </xf>
    <xf numFmtId="0" fontId="10" fillId="15" borderId="51" xfId="0" applyFont="1" applyFill="1" applyBorder="1" applyAlignment="1">
      <alignment horizontal="left" vertical="center" wrapText="1"/>
    </xf>
    <xf numFmtId="0" fontId="10" fillId="15" borderId="7" xfId="0" applyFont="1" applyFill="1" applyBorder="1" applyAlignment="1">
      <alignment horizontal="left" vertical="center" wrapTex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10" fillId="0" borderId="51"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10" fillId="13" borderId="51"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10" fillId="15" borderId="1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0" fillId="0" borderId="11" xfId="0" applyBorder="1" applyAlignment="1">
      <alignment vertical="center" wrapText="1"/>
    </xf>
    <xf numFmtId="0" fontId="0" fillId="0" borderId="5" xfId="0" applyBorder="1" applyAlignment="1">
      <alignment vertical="center" wrapText="1"/>
    </xf>
    <xf numFmtId="0" fontId="4" fillId="15" borderId="49" xfId="0" applyFont="1" applyFill="1" applyBorder="1" applyAlignment="1">
      <alignment horizontal="center"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xf numFmtId="0" fontId="187" fillId="23" borderId="9" xfId="0" applyFont="1" applyFill="1" applyBorder="1" applyAlignment="1">
      <alignment horizontal="left" vertical="top" wrapText="1"/>
    </xf>
    <xf numFmtId="0" fontId="74" fillId="23" borderId="6" xfId="0" applyFont="1" applyFill="1" applyBorder="1" applyAlignment="1">
      <alignment horizontal="left" vertical="top" wrapText="1"/>
    </xf>
    <xf numFmtId="0" fontId="74" fillId="23" borderId="50" xfId="0" applyFont="1" applyFill="1" applyBorder="1" applyAlignment="1">
      <alignment horizontal="left" vertical="top" wrapText="1"/>
    </xf>
    <xf numFmtId="0" fontId="74" fillId="23" borderId="11" xfId="0" applyFont="1" applyFill="1" applyBorder="1" applyAlignment="1">
      <alignment horizontal="left" vertical="top" wrapText="1"/>
    </xf>
    <xf numFmtId="0" fontId="74" fillId="23" borderId="0" xfId="0" applyFont="1" applyFill="1" applyAlignment="1">
      <alignment horizontal="left" vertical="top" wrapText="1"/>
    </xf>
    <xf numFmtId="0" fontId="74" fillId="23" borderId="8" xfId="0" applyFont="1" applyFill="1" applyBorder="1" applyAlignment="1">
      <alignment horizontal="left" vertical="top" wrapText="1"/>
    </xf>
    <xf numFmtId="0" fontId="74" fillId="23" borderId="5" xfId="0" applyFont="1" applyFill="1" applyBorder="1" applyAlignment="1">
      <alignment horizontal="left" vertical="top" wrapText="1"/>
    </xf>
    <xf numFmtId="0" fontId="74" fillId="23" borderId="12" xfId="0" applyFont="1" applyFill="1" applyBorder="1" applyAlignment="1">
      <alignment horizontal="left" vertical="top" wrapText="1"/>
    </xf>
    <xf numFmtId="0" fontId="74" fillId="23" borderId="13" xfId="0" applyFont="1" applyFill="1" applyBorder="1" applyAlignment="1">
      <alignment horizontal="left" vertical="top" wrapText="1"/>
    </xf>
    <xf numFmtId="0" fontId="187" fillId="23" borderId="47" xfId="0" applyFont="1" applyFill="1" applyBorder="1" applyAlignment="1">
      <alignment horizontal="left" vertical="top" wrapText="1"/>
    </xf>
    <xf numFmtId="0" fontId="187" fillId="23" borderId="48" xfId="0" applyFont="1" applyFill="1" applyBorder="1" applyAlignment="1">
      <alignment horizontal="left" vertical="top" wrapText="1"/>
    </xf>
    <xf numFmtId="0" fontId="187" fillId="23" borderId="49" xfId="0" applyFont="1" applyFill="1" applyBorder="1" applyAlignment="1">
      <alignment horizontal="left" vertical="top" wrapText="1"/>
    </xf>
    <xf numFmtId="0" fontId="187" fillId="23" borderId="6" xfId="0" applyFont="1" applyFill="1" applyBorder="1" applyAlignment="1">
      <alignment horizontal="left" vertical="top" wrapText="1"/>
    </xf>
    <xf numFmtId="0" fontId="187" fillId="23" borderId="50" xfId="0" applyFont="1" applyFill="1" applyBorder="1" applyAlignment="1">
      <alignment horizontal="left" vertical="top" wrapText="1"/>
    </xf>
    <xf numFmtId="0" fontId="187" fillId="23" borderId="11" xfId="0" applyFont="1" applyFill="1" applyBorder="1" applyAlignment="1">
      <alignment horizontal="left" vertical="top" wrapText="1"/>
    </xf>
    <xf numFmtId="0" fontId="187" fillId="23" borderId="0" xfId="0" applyFont="1" applyFill="1" applyAlignment="1">
      <alignment horizontal="left" vertical="top" wrapText="1"/>
    </xf>
    <xf numFmtId="0" fontId="187" fillId="23" borderId="8" xfId="0" applyFont="1" applyFill="1" applyBorder="1" applyAlignment="1">
      <alignment horizontal="left" vertical="top" wrapText="1"/>
    </xf>
    <xf numFmtId="0" fontId="187" fillId="23" borderId="5" xfId="0" applyFont="1" applyFill="1" applyBorder="1" applyAlignment="1">
      <alignment horizontal="left" vertical="top" wrapText="1"/>
    </xf>
    <xf numFmtId="0" fontId="187" fillId="23" borderId="12" xfId="0" applyFont="1" applyFill="1" applyBorder="1" applyAlignment="1">
      <alignment horizontal="left" vertical="top" wrapText="1"/>
    </xf>
    <xf numFmtId="0" fontId="187" fillId="23" borderId="13" xfId="0" applyFont="1" applyFill="1" applyBorder="1" applyAlignment="1">
      <alignment horizontal="left" vertical="top" wrapText="1"/>
    </xf>
  </cellXfs>
  <cellStyles count="26">
    <cellStyle name="パーセント" xfId="1" builtinId="5"/>
    <cellStyle name="パーセント 2" xfId="23"/>
    <cellStyle name="ハイパーリンク" xfId="19" builtinId="8"/>
    <cellStyle name="桁区切り" xfId="2" builtinId="6"/>
    <cellStyle name="桁区切り 2" xfId="3"/>
    <cellStyle name="桁区切り 2 2" xfId="21"/>
    <cellStyle name="桁区切り 3" xfId="22"/>
    <cellStyle name="標準" xfId="0" builtinId="0"/>
    <cellStyle name="標準 11" xfId="4"/>
    <cellStyle name="標準 2" xfId="5"/>
    <cellStyle name="標準 2 2" xfId="6"/>
    <cellStyle name="標準 2 2 2" xfId="20"/>
    <cellStyle name="標準 2 3" xfId="16"/>
    <cellStyle name="標準 2 4" xfId="7"/>
    <cellStyle name="標準 2 5" xfId="25"/>
    <cellStyle name="標準 3" xfId="8"/>
    <cellStyle name="標準 3 2" xfId="9"/>
    <cellStyle name="標準 3 2 2" xfId="10"/>
    <cellStyle name="標準 3 3" xfId="15"/>
    <cellStyle name="標準 3 4" xfId="24"/>
    <cellStyle name="標準 4" xfId="11"/>
    <cellStyle name="標準 5" xfId="18"/>
    <cellStyle name="標準 7" xfId="12"/>
    <cellStyle name="標準 8" xfId="13"/>
    <cellStyle name="標準_⑤参考様式11,12号別紙(収支実績報告書（支援交付金））" xfId="14"/>
    <cellStyle name="標準_出納帳20061221" xfId="17"/>
  </cellStyles>
  <dxfs count="7">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s>
  <tableStyles count="0" defaultTableStyle="TableStyleMedium2" defaultPivotStyle="PivotStyleLight16"/>
  <colors>
    <mruColors>
      <color rgb="FF0000FF"/>
      <color rgb="FFCCFFCC"/>
      <color rgb="FFCCFFFF"/>
      <color rgb="FFFFEBFF"/>
      <color rgb="FFFFF3FF"/>
      <color rgb="FFFFD5FF"/>
      <color rgb="FFFFCCFF"/>
      <color rgb="FFFF5050"/>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18.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2588305</xdr:colOff>
      <xdr:row>19</xdr:row>
      <xdr:rowOff>32508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twoCellAnchor>
    <xdr:from>
      <xdr:col>6</xdr:col>
      <xdr:colOff>290129</xdr:colOff>
      <xdr:row>3</xdr:row>
      <xdr:rowOff>136854</xdr:rowOff>
    </xdr:from>
    <xdr:to>
      <xdr:col>6</xdr:col>
      <xdr:colOff>2255345</xdr:colOff>
      <xdr:row>8</xdr:row>
      <xdr:rowOff>90323</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5594569" y="1253578"/>
          <a:ext cx="1965216" cy="1086616"/>
        </a:xfrm>
        <a:prstGeom prst="wedgeRoundRectCallout">
          <a:avLst>
            <a:gd name="adj1" fmla="val -66317"/>
            <a:gd name="adj2" fmla="val -19708"/>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100"/>
            <a:t>まずここを入力してください。</a:t>
          </a:r>
          <a:endParaRPr kumimoji="1" lang="en-US" altLang="ja-JP" sz="1100"/>
        </a:p>
        <a:p>
          <a:pPr algn="l"/>
          <a:r>
            <a:rPr kumimoji="1" lang="ja-JP" altLang="en-US" sz="1100"/>
            <a:t>（他のシートへ自動入力されます。）</a:t>
          </a:r>
        </a:p>
      </xdr:txBody>
    </xdr:sp>
    <xdr:clientData/>
  </xdr:twoCellAnchor>
  <xdr:twoCellAnchor>
    <xdr:from>
      <xdr:col>6</xdr:col>
      <xdr:colOff>788276</xdr:colOff>
      <xdr:row>0</xdr:row>
      <xdr:rowOff>106746</xdr:rowOff>
    </xdr:from>
    <xdr:to>
      <xdr:col>6</xdr:col>
      <xdr:colOff>2356616</xdr:colOff>
      <xdr:row>0</xdr:row>
      <xdr:rowOff>492672</xdr:rowOff>
    </xdr:to>
    <xdr:sp macro="" textlink="">
      <xdr:nvSpPr>
        <xdr:cNvPr id="4" name="正方形/長方形 3"/>
        <xdr:cNvSpPr/>
      </xdr:nvSpPr>
      <xdr:spPr>
        <a:xfrm>
          <a:off x="6092716" y="106746"/>
          <a:ext cx="1568340" cy="385926"/>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000" b="1"/>
            <a:t>記入例</a:t>
          </a:r>
          <a:endParaRPr kumimoji="1" lang="en-US" altLang="ja-JP" sz="2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1375833</xdr:colOff>
      <xdr:row>1</xdr:row>
      <xdr:rowOff>49389</xdr:rowOff>
    </xdr:from>
    <xdr:to>
      <xdr:col>3</xdr:col>
      <xdr:colOff>2730501</xdr:colOff>
      <xdr:row>3</xdr:row>
      <xdr:rowOff>119945</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2490611" y="402167"/>
          <a:ext cx="1354668" cy="776111"/>
        </a:xfrm>
        <a:prstGeom prst="wedgeRoundRectCallout">
          <a:avLst>
            <a:gd name="adj1" fmla="val 73933"/>
            <a:gd name="adj2" fmla="val 9872"/>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提出日を記入。</a:t>
          </a:r>
          <a:endParaRPr kumimoji="1" lang="en-US" altLang="ja-JP" sz="1400"/>
        </a:p>
      </xdr:txBody>
    </xdr:sp>
    <xdr:clientData/>
  </xdr:twoCellAnchor>
  <xdr:twoCellAnchor>
    <xdr:from>
      <xdr:col>0</xdr:col>
      <xdr:colOff>254000</xdr:colOff>
      <xdr:row>4</xdr:row>
      <xdr:rowOff>10584</xdr:rowOff>
    </xdr:from>
    <xdr:to>
      <xdr:col>3</xdr:col>
      <xdr:colOff>2402416</xdr:colOff>
      <xdr:row>7</xdr:row>
      <xdr:rowOff>0</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254000" y="1386417"/>
          <a:ext cx="3376083" cy="941916"/>
        </a:xfrm>
        <a:prstGeom prst="wedgeRoundRectCallout">
          <a:avLst>
            <a:gd name="adj1" fmla="val 65743"/>
            <a:gd name="adj2" fmla="val 1742"/>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協定名、代表者名を記入。</a:t>
          </a:r>
          <a:endParaRPr kumimoji="1" lang="en-US" altLang="ja-JP" sz="1400"/>
        </a:p>
        <a:p>
          <a:pPr algn="l"/>
          <a:r>
            <a:rPr kumimoji="1" lang="ja-JP" altLang="en-US" sz="1200"/>
            <a:t>（押印不要。パソコンの場合、自動入力）</a:t>
          </a:r>
          <a:endParaRPr kumimoji="1" lang="en-US" altLang="ja-JP" sz="1200"/>
        </a:p>
      </xdr:txBody>
    </xdr:sp>
    <xdr:clientData/>
  </xdr:twoCellAnchor>
  <xdr:twoCellAnchor>
    <xdr:from>
      <xdr:col>1</xdr:col>
      <xdr:colOff>433917</xdr:colOff>
      <xdr:row>21</xdr:row>
      <xdr:rowOff>222250</xdr:rowOff>
    </xdr:from>
    <xdr:to>
      <xdr:col>3</xdr:col>
      <xdr:colOff>1005416</xdr:colOff>
      <xdr:row>22</xdr:row>
      <xdr:rowOff>465667</xdr:rowOff>
    </xdr:to>
    <xdr:sp macro="" textlink="">
      <xdr:nvSpPr>
        <xdr:cNvPr id="5" name="吹き出し: 角を丸めた四角形 3">
          <a:extLst>
            <a:ext uri="{FF2B5EF4-FFF2-40B4-BE49-F238E27FC236}">
              <a16:creationId xmlns:a16="http://schemas.microsoft.com/office/drawing/2014/main" id="{00000000-0008-0000-0300-000004000000}"/>
            </a:ext>
          </a:extLst>
        </xdr:cNvPr>
        <xdr:cNvSpPr/>
      </xdr:nvSpPr>
      <xdr:spPr>
        <a:xfrm>
          <a:off x="857250" y="7207250"/>
          <a:ext cx="1375833" cy="560917"/>
        </a:xfrm>
        <a:prstGeom prst="wedgeRoundRectCallout">
          <a:avLst>
            <a:gd name="adj1" fmla="val -55197"/>
            <a:gd name="adj2" fmla="val -91877"/>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チェック不要</a:t>
          </a:r>
          <a:endParaRPr kumimoji="1" lang="en-US" altLang="ja-JP" sz="1400"/>
        </a:p>
      </xdr:txBody>
    </xdr:sp>
    <xdr:clientData/>
  </xdr:twoCellAnchor>
  <xdr:twoCellAnchor>
    <xdr:from>
      <xdr:col>1</xdr:col>
      <xdr:colOff>406401</xdr:colOff>
      <xdr:row>25</xdr:row>
      <xdr:rowOff>226483</xdr:rowOff>
    </xdr:from>
    <xdr:to>
      <xdr:col>3</xdr:col>
      <xdr:colOff>977900</xdr:colOff>
      <xdr:row>27</xdr:row>
      <xdr:rowOff>131233</xdr:rowOff>
    </xdr:to>
    <xdr:sp macro="" textlink="">
      <xdr:nvSpPr>
        <xdr:cNvPr id="6" name="吹き出し: 角を丸めた四角形 3">
          <a:extLst>
            <a:ext uri="{FF2B5EF4-FFF2-40B4-BE49-F238E27FC236}">
              <a16:creationId xmlns:a16="http://schemas.microsoft.com/office/drawing/2014/main" id="{00000000-0008-0000-0300-000004000000}"/>
            </a:ext>
          </a:extLst>
        </xdr:cNvPr>
        <xdr:cNvSpPr/>
      </xdr:nvSpPr>
      <xdr:spPr>
        <a:xfrm>
          <a:off x="829734" y="8894233"/>
          <a:ext cx="1375833" cy="560917"/>
        </a:xfrm>
        <a:prstGeom prst="wedgeRoundRectCallout">
          <a:avLst>
            <a:gd name="adj1" fmla="val -55197"/>
            <a:gd name="adj2" fmla="val -91877"/>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チェック不要</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171450</xdr:colOff>
      <xdr:row>3</xdr:row>
      <xdr:rowOff>158750</xdr:rowOff>
    </xdr:from>
    <xdr:to>
      <xdr:col>5</xdr:col>
      <xdr:colOff>2534357</xdr:colOff>
      <xdr:row>5</xdr:row>
      <xdr:rowOff>146049</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1352550" y="844550"/>
          <a:ext cx="2362907" cy="530224"/>
        </a:xfrm>
        <a:prstGeom prst="wedgeRoundRectCallout">
          <a:avLst>
            <a:gd name="adj1" fmla="val 64803"/>
            <a:gd name="adj2" fmla="val 6236"/>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050"/>
            <a:t>提出日、協定名、代表者名を記入。（パソコン作成の場合、自動入力）</a:t>
          </a:r>
          <a:endParaRPr kumimoji="1" lang="en-US" altLang="ja-JP" sz="1050"/>
        </a:p>
      </xdr:txBody>
    </xdr:sp>
    <xdr:clientData/>
  </xdr:twoCellAnchor>
  <xdr:twoCellAnchor>
    <xdr:from>
      <xdr:col>5</xdr:col>
      <xdr:colOff>1835151</xdr:colOff>
      <xdr:row>6</xdr:row>
      <xdr:rowOff>38100</xdr:rowOff>
    </xdr:from>
    <xdr:to>
      <xdr:col>6</xdr:col>
      <xdr:colOff>1308101</xdr:colOff>
      <xdr:row>10</xdr:row>
      <xdr:rowOff>19050</xdr:rowOff>
    </xdr:to>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2921001" y="1587500"/>
          <a:ext cx="2190750" cy="749300"/>
        </a:xfrm>
        <a:prstGeom prst="wedgeRoundRectCallout">
          <a:avLst>
            <a:gd name="adj1" fmla="val -62555"/>
            <a:gd name="adj2" fmla="val 36373"/>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100"/>
            <a:t>１．２．ともに、特にこだわりがなければ、記入例のとおり記入。</a:t>
          </a:r>
          <a:endParaRPr kumimoji="1" lang="en-US" altLang="ja-JP" sz="1100"/>
        </a:p>
      </xdr:txBody>
    </xdr:sp>
    <xdr:clientData/>
  </xdr:twoCellAnchor>
  <xdr:twoCellAnchor>
    <xdr:from>
      <xdr:col>4</xdr:col>
      <xdr:colOff>336550</xdr:colOff>
      <xdr:row>20</xdr:row>
      <xdr:rowOff>501650</xdr:rowOff>
    </xdr:from>
    <xdr:to>
      <xdr:col>5</xdr:col>
      <xdr:colOff>2305757</xdr:colOff>
      <xdr:row>22</xdr:row>
      <xdr:rowOff>317499</xdr:rowOff>
    </xdr:to>
    <xdr:sp macro="" textlink="">
      <xdr:nvSpPr>
        <xdr:cNvPr id="5" name="吹き出し: 角を丸めた四角形 4">
          <a:extLst>
            <a:ext uri="{FF2B5EF4-FFF2-40B4-BE49-F238E27FC236}">
              <a16:creationId xmlns:a16="http://schemas.microsoft.com/office/drawing/2014/main" id="{00000000-0008-0000-0400-000005000000}"/>
            </a:ext>
          </a:extLst>
        </xdr:cNvPr>
        <xdr:cNvSpPr/>
      </xdr:nvSpPr>
      <xdr:spPr>
        <a:xfrm>
          <a:off x="1073150" y="5575300"/>
          <a:ext cx="2318457" cy="558799"/>
        </a:xfrm>
        <a:prstGeom prst="wedgeRoundRectCallout">
          <a:avLst>
            <a:gd name="adj1" fmla="val -67485"/>
            <a:gd name="adj2" fmla="val 63646"/>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100"/>
            <a:t>２号事業（中山間地域等直接支払交付金）に〇</a:t>
          </a:r>
          <a:endParaRPr kumimoji="1" lang="en-US" altLang="ja-JP" sz="1100"/>
        </a:p>
      </xdr:txBody>
    </xdr:sp>
    <xdr:clientData/>
  </xdr:twoCellAnchor>
  <xdr:twoCellAnchor>
    <xdr:from>
      <xdr:col>5</xdr:col>
      <xdr:colOff>431801</xdr:colOff>
      <xdr:row>26</xdr:row>
      <xdr:rowOff>50800</xdr:rowOff>
    </xdr:from>
    <xdr:to>
      <xdr:col>5</xdr:col>
      <xdr:colOff>2063751</xdr:colOff>
      <xdr:row>27</xdr:row>
      <xdr:rowOff>196849</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a:xfrm>
          <a:off x="1517651" y="7169150"/>
          <a:ext cx="1631950" cy="336549"/>
        </a:xfrm>
        <a:prstGeom prst="wedgeRoundRectCallout">
          <a:avLst>
            <a:gd name="adj1" fmla="val -62555"/>
            <a:gd name="adj2" fmla="val 36373"/>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100"/>
            <a:t>記載例のとおり記入。</a:t>
          </a:r>
          <a:endParaRPr kumimoji="1" lang="en-US" altLang="ja-JP" sz="1100"/>
        </a:p>
      </xdr:txBody>
    </xdr:sp>
    <xdr:clientData/>
  </xdr:twoCellAnchor>
  <xdr:twoCellAnchor>
    <xdr:from>
      <xdr:col>5</xdr:col>
      <xdr:colOff>1308100</xdr:colOff>
      <xdr:row>32</xdr:row>
      <xdr:rowOff>12700</xdr:rowOff>
    </xdr:from>
    <xdr:to>
      <xdr:col>6</xdr:col>
      <xdr:colOff>222250</xdr:colOff>
      <xdr:row>33</xdr:row>
      <xdr:rowOff>190499</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a:xfrm>
          <a:off x="2393950" y="8464550"/>
          <a:ext cx="1631950" cy="406399"/>
        </a:xfrm>
        <a:prstGeom prst="wedgeRoundRectCallout">
          <a:avLst>
            <a:gd name="adj1" fmla="val -62555"/>
            <a:gd name="adj2" fmla="val 36373"/>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100"/>
            <a:t>記載例のとおり記入。</a:t>
          </a:r>
          <a:endParaRPr kumimoji="1" lang="en-US" altLang="ja-JP" sz="1100"/>
        </a:p>
      </xdr:txBody>
    </xdr:sp>
    <xdr:clientData/>
  </xdr:twoCellAnchor>
  <xdr:twoCellAnchor>
    <xdr:from>
      <xdr:col>6</xdr:col>
      <xdr:colOff>146050</xdr:colOff>
      <xdr:row>35</xdr:row>
      <xdr:rowOff>469900</xdr:rowOff>
    </xdr:from>
    <xdr:to>
      <xdr:col>7</xdr:col>
      <xdr:colOff>127000</xdr:colOff>
      <xdr:row>36</xdr:row>
      <xdr:rowOff>228599</xdr:rowOff>
    </xdr:to>
    <xdr:sp macro="" textlink="">
      <xdr:nvSpPr>
        <xdr:cNvPr id="11" name="吹き出し: 角を丸めた四角形 10">
          <a:extLst>
            <a:ext uri="{FF2B5EF4-FFF2-40B4-BE49-F238E27FC236}">
              <a16:creationId xmlns:a16="http://schemas.microsoft.com/office/drawing/2014/main" id="{00000000-0008-0000-0400-00000B000000}"/>
            </a:ext>
          </a:extLst>
        </xdr:cNvPr>
        <xdr:cNvSpPr/>
      </xdr:nvSpPr>
      <xdr:spPr>
        <a:xfrm>
          <a:off x="3949700" y="9956800"/>
          <a:ext cx="1631950" cy="336549"/>
        </a:xfrm>
        <a:prstGeom prst="wedgeRoundRectCallout">
          <a:avLst>
            <a:gd name="adj1" fmla="val -57886"/>
            <a:gd name="adj2" fmla="val 51467"/>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100"/>
            <a:t>記載例のとおり記入。</a:t>
          </a:r>
          <a:endParaRPr kumimoji="1" lang="en-US" altLang="ja-JP" sz="1100"/>
        </a:p>
      </xdr:txBody>
    </xdr:sp>
    <xdr:clientData/>
  </xdr:twoCellAnchor>
  <xdr:twoCellAnchor>
    <xdr:from>
      <xdr:col>5</xdr:col>
      <xdr:colOff>1885950</xdr:colOff>
      <xdr:row>45</xdr:row>
      <xdr:rowOff>57150</xdr:rowOff>
    </xdr:from>
    <xdr:to>
      <xdr:col>6</xdr:col>
      <xdr:colOff>800100</xdr:colOff>
      <xdr:row>45</xdr:row>
      <xdr:rowOff>393699</xdr:rowOff>
    </xdr:to>
    <xdr:sp macro="" textlink="">
      <xdr:nvSpPr>
        <xdr:cNvPr id="12" name="吹き出し: 角を丸めた四角形 11">
          <a:extLst>
            <a:ext uri="{FF2B5EF4-FFF2-40B4-BE49-F238E27FC236}">
              <a16:creationId xmlns:a16="http://schemas.microsoft.com/office/drawing/2014/main" id="{00000000-0008-0000-0400-00000C000000}"/>
            </a:ext>
          </a:extLst>
        </xdr:cNvPr>
        <xdr:cNvSpPr/>
      </xdr:nvSpPr>
      <xdr:spPr>
        <a:xfrm>
          <a:off x="2971800" y="12223750"/>
          <a:ext cx="1631950" cy="336549"/>
        </a:xfrm>
        <a:prstGeom prst="wedgeRoundRectCallout">
          <a:avLst>
            <a:gd name="adj1" fmla="val -57886"/>
            <a:gd name="adj2" fmla="val 51467"/>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100"/>
            <a:t>記載例のとおり記入。</a:t>
          </a:r>
          <a:endParaRPr kumimoji="1" lang="en-US" altLang="ja-JP" sz="1100"/>
        </a:p>
      </xdr:txBody>
    </xdr:sp>
    <xdr:clientData/>
  </xdr:twoCellAnchor>
  <xdr:twoCellAnchor>
    <xdr:from>
      <xdr:col>5</xdr:col>
      <xdr:colOff>1847850</xdr:colOff>
      <xdr:row>48</xdr:row>
      <xdr:rowOff>76200</xdr:rowOff>
    </xdr:from>
    <xdr:to>
      <xdr:col>6</xdr:col>
      <xdr:colOff>762000</xdr:colOff>
      <xdr:row>48</xdr:row>
      <xdr:rowOff>412749</xdr:rowOff>
    </xdr:to>
    <xdr:sp macro="" textlink="">
      <xdr:nvSpPr>
        <xdr:cNvPr id="13" name="吹き出し: 角を丸めた四角形 12">
          <a:extLst>
            <a:ext uri="{FF2B5EF4-FFF2-40B4-BE49-F238E27FC236}">
              <a16:creationId xmlns:a16="http://schemas.microsoft.com/office/drawing/2014/main" id="{00000000-0008-0000-0400-00000D000000}"/>
            </a:ext>
          </a:extLst>
        </xdr:cNvPr>
        <xdr:cNvSpPr/>
      </xdr:nvSpPr>
      <xdr:spPr>
        <a:xfrm>
          <a:off x="2933700" y="13855700"/>
          <a:ext cx="1631950" cy="336549"/>
        </a:xfrm>
        <a:prstGeom prst="wedgeRoundRectCallout">
          <a:avLst>
            <a:gd name="adj1" fmla="val -57886"/>
            <a:gd name="adj2" fmla="val 51467"/>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100"/>
            <a:t>記載例のとおり記入。</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50800</xdr:colOff>
      <xdr:row>4</xdr:row>
      <xdr:rowOff>114300</xdr:rowOff>
    </xdr:from>
    <xdr:to>
      <xdr:col>18</xdr:col>
      <xdr:colOff>914400</xdr:colOff>
      <xdr:row>12</xdr:row>
      <xdr:rowOff>352425</xdr:rowOff>
    </xdr:to>
    <xdr:sp macro="" textlink="">
      <xdr:nvSpPr>
        <xdr:cNvPr id="2" name="吹き出し: 角を丸めた四角形 1">
          <a:extLst>
            <a:ext uri="{FF2B5EF4-FFF2-40B4-BE49-F238E27FC236}">
              <a16:creationId xmlns:a16="http://schemas.microsoft.com/office/drawing/2014/main" id="{00000000-0008-0000-0500-000002000000}"/>
            </a:ext>
          </a:extLst>
        </xdr:cNvPr>
        <xdr:cNvSpPr/>
      </xdr:nvSpPr>
      <xdr:spPr>
        <a:xfrm>
          <a:off x="5384800" y="2162175"/>
          <a:ext cx="2025650" cy="2171700"/>
        </a:xfrm>
        <a:prstGeom prst="wedgeRoundRectCallout">
          <a:avLst>
            <a:gd name="adj1" fmla="val -59940"/>
            <a:gd name="adj2" fmla="val -19359"/>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ふりがな、協定名、代表者氏名、所在地を入力</a:t>
          </a:r>
          <a:endParaRPr kumimoji="1" lang="en-US" altLang="ja-JP" sz="1200"/>
        </a:p>
        <a:p>
          <a:pPr algn="l"/>
          <a:endParaRPr kumimoji="1" lang="en-US" altLang="ja-JP" sz="1200"/>
        </a:p>
        <a:p>
          <a:pPr algn="l"/>
          <a:r>
            <a:rPr kumimoji="1" lang="en-US" altLang="ja-JP" sz="1200"/>
            <a:t>※</a:t>
          </a:r>
          <a:r>
            <a:rPr kumimoji="1" lang="ja-JP" altLang="en-US" sz="1200"/>
            <a:t>押印不要</a:t>
          </a:r>
          <a:endParaRPr kumimoji="1" lang="en-US" altLang="ja-JP" sz="1200"/>
        </a:p>
        <a:p>
          <a:pPr algn="l"/>
          <a:r>
            <a:rPr kumimoji="1" lang="en-US" altLang="ja-JP" sz="1200"/>
            <a:t>※</a:t>
          </a:r>
          <a:r>
            <a:rPr kumimoji="1" lang="ja-JP" altLang="en-US" sz="1200"/>
            <a:t>パソコンで作成する場合、ふりがな以外は自動入力されます。</a:t>
          </a:r>
          <a:endParaRPr kumimoji="1" lang="en-US" altLang="ja-JP" sz="1200"/>
        </a:p>
      </xdr:txBody>
    </xdr:sp>
    <xdr:clientData/>
  </xdr:twoCellAnchor>
  <xdr:twoCellAnchor>
    <xdr:from>
      <xdr:col>2</xdr:col>
      <xdr:colOff>314324</xdr:colOff>
      <xdr:row>22</xdr:row>
      <xdr:rowOff>107950</xdr:rowOff>
    </xdr:from>
    <xdr:to>
      <xdr:col>10</xdr:col>
      <xdr:colOff>28575</xdr:colOff>
      <xdr:row>25</xdr:row>
      <xdr:rowOff>495300</xdr:rowOff>
    </xdr:to>
    <xdr:sp macro="" textlink="">
      <xdr:nvSpPr>
        <xdr:cNvPr id="3" name="吹き出し: 角を丸めた四角形 2">
          <a:extLst>
            <a:ext uri="{FF2B5EF4-FFF2-40B4-BE49-F238E27FC236}">
              <a16:creationId xmlns:a16="http://schemas.microsoft.com/office/drawing/2014/main" id="{00000000-0008-0000-0500-000003000000}"/>
            </a:ext>
          </a:extLst>
        </xdr:cNvPr>
        <xdr:cNvSpPr/>
      </xdr:nvSpPr>
      <xdr:spPr>
        <a:xfrm>
          <a:off x="809624" y="6880225"/>
          <a:ext cx="2628901" cy="1549400"/>
        </a:xfrm>
        <a:prstGeom prst="wedgeRoundRectCallout">
          <a:avLst>
            <a:gd name="adj1" fmla="val -28397"/>
            <a:gd name="adj2" fmla="val -92219"/>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400"/>
            <a:t>Ⅲ</a:t>
          </a:r>
          <a:r>
            <a:rPr kumimoji="1" lang="ja-JP" altLang="en-US" sz="1400"/>
            <a:t>． ２号事業（中山間地域等直接支払）にチェック</a:t>
          </a:r>
          <a:endParaRPr kumimoji="1" lang="en-US" altLang="ja-JP" sz="1400"/>
        </a:p>
        <a:p>
          <a:pPr algn="l"/>
          <a:endParaRPr kumimoji="1" lang="en-US" altLang="ja-JP" sz="1400"/>
        </a:p>
        <a:p>
          <a:pPr algn="l"/>
          <a:r>
            <a:rPr kumimoji="1" lang="en-US" altLang="ja-JP" sz="1400"/>
            <a:t>※</a:t>
          </a:r>
          <a:r>
            <a:rPr kumimoji="1" lang="ja-JP" altLang="en-US" sz="1400"/>
            <a:t>パソコンで作成する場合、自動入力されます。</a:t>
          </a:r>
          <a:endParaRPr kumimoji="1" lang="en-US" altLang="ja-JP" sz="1400"/>
        </a:p>
      </xdr:txBody>
    </xdr:sp>
    <xdr:clientData/>
  </xdr:twoCellAnchor>
  <xdr:twoCellAnchor>
    <xdr:from>
      <xdr:col>8</xdr:col>
      <xdr:colOff>187325</xdr:colOff>
      <xdr:row>29</xdr:row>
      <xdr:rowOff>384175</xdr:rowOff>
    </xdr:from>
    <xdr:to>
      <xdr:col>14</xdr:col>
      <xdr:colOff>304801</xdr:colOff>
      <xdr:row>35</xdr:row>
      <xdr:rowOff>228600</xdr:rowOff>
    </xdr:to>
    <xdr:sp macro="" textlink="">
      <xdr:nvSpPr>
        <xdr:cNvPr id="4" name="吹き出し: 角を丸めた四角形 3">
          <a:extLst>
            <a:ext uri="{FF2B5EF4-FFF2-40B4-BE49-F238E27FC236}">
              <a16:creationId xmlns:a16="http://schemas.microsoft.com/office/drawing/2014/main" id="{00000000-0008-0000-0500-000004000000}"/>
            </a:ext>
          </a:extLst>
        </xdr:cNvPr>
        <xdr:cNvSpPr/>
      </xdr:nvSpPr>
      <xdr:spPr>
        <a:xfrm>
          <a:off x="2835275" y="9766300"/>
          <a:ext cx="2422526" cy="1187450"/>
        </a:xfrm>
        <a:prstGeom prst="wedgeRoundRectCallout">
          <a:avLst>
            <a:gd name="adj1" fmla="val -63144"/>
            <a:gd name="adj2" fmla="val 57605"/>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中山間地域等直接支払欄に</a:t>
          </a:r>
          <a:endParaRPr kumimoji="1" lang="en-US" altLang="ja-JP" sz="1200"/>
        </a:p>
        <a:p>
          <a:pPr algn="l"/>
          <a:r>
            <a:rPr kumimoji="1" lang="ja-JP" altLang="en-US" sz="1200"/>
            <a:t>活動開始年度：令和</a:t>
          </a:r>
          <a:r>
            <a:rPr kumimoji="1" lang="en-US" altLang="ja-JP" sz="1200"/>
            <a:t>7</a:t>
          </a:r>
          <a:r>
            <a:rPr kumimoji="1" lang="ja-JP" altLang="en-US" sz="1200"/>
            <a:t>年度</a:t>
          </a:r>
          <a:endParaRPr kumimoji="1" lang="en-US" altLang="ja-JP" sz="1200"/>
        </a:p>
        <a:p>
          <a:pPr algn="l"/>
          <a:r>
            <a:rPr kumimoji="1" lang="ja-JP" altLang="en-US" sz="1200"/>
            <a:t>活動終了年度：令和</a:t>
          </a:r>
          <a:r>
            <a:rPr kumimoji="1" lang="en-US" altLang="ja-JP" sz="1200"/>
            <a:t>11</a:t>
          </a:r>
          <a:r>
            <a:rPr kumimoji="1" lang="ja-JP" altLang="en-US" sz="1200"/>
            <a:t>年度</a:t>
          </a:r>
          <a:endParaRPr kumimoji="1" lang="en-US" altLang="ja-JP" sz="1200"/>
        </a:p>
        <a:p>
          <a:pPr algn="l"/>
          <a:r>
            <a:rPr kumimoji="1" lang="ja-JP" altLang="en-US" sz="1200"/>
            <a:t>を入力。</a:t>
          </a:r>
          <a:endParaRPr kumimoji="1" lang="en-US" altLang="ja-JP" sz="1200"/>
        </a:p>
      </xdr:txBody>
    </xdr:sp>
    <xdr:clientData/>
  </xdr:twoCellAnchor>
  <xdr:twoCellAnchor>
    <xdr:from>
      <xdr:col>9</xdr:col>
      <xdr:colOff>19050</xdr:colOff>
      <xdr:row>40</xdr:row>
      <xdr:rowOff>444500</xdr:rowOff>
    </xdr:from>
    <xdr:to>
      <xdr:col>18</xdr:col>
      <xdr:colOff>381000</xdr:colOff>
      <xdr:row>44</xdr:row>
      <xdr:rowOff>279400</xdr:rowOff>
    </xdr:to>
    <xdr:sp macro="" textlink="">
      <xdr:nvSpPr>
        <xdr:cNvPr id="5" name="吹き出し: 角を丸めた四角形 4">
          <a:extLst>
            <a:ext uri="{FF2B5EF4-FFF2-40B4-BE49-F238E27FC236}">
              <a16:creationId xmlns:a16="http://schemas.microsoft.com/office/drawing/2014/main" id="{00000000-0008-0000-0500-000005000000}"/>
            </a:ext>
          </a:extLst>
        </xdr:cNvPr>
        <xdr:cNvSpPr/>
      </xdr:nvSpPr>
      <xdr:spPr>
        <a:xfrm>
          <a:off x="3048000" y="12255500"/>
          <a:ext cx="3829050" cy="949325"/>
        </a:xfrm>
        <a:prstGeom prst="wedgeRoundRectCallout">
          <a:avLst>
            <a:gd name="adj1" fmla="val -61629"/>
            <a:gd name="adj2" fmla="val 49552"/>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中山間地域等直接支払欄に、</a:t>
          </a:r>
          <a:r>
            <a:rPr kumimoji="1" lang="ja-JP" altLang="en-US" sz="1200" u="sng"/>
            <a:t>別紙２①を元に</a:t>
          </a:r>
          <a:r>
            <a:rPr kumimoji="1" lang="ja-JP" altLang="en-US" sz="1200"/>
            <a:t>、農用地の合計、交付額などを記入。（パソコンで作成する場合、自動入力されます。）</a:t>
          </a:r>
          <a:endParaRPr kumimoji="1" lang="en-US" altLang="ja-JP" sz="1200"/>
        </a:p>
      </xdr:txBody>
    </xdr:sp>
    <xdr:clientData/>
  </xdr:twoCellAnchor>
  <xdr:twoCellAnchor>
    <xdr:from>
      <xdr:col>8</xdr:col>
      <xdr:colOff>241301</xdr:colOff>
      <xdr:row>62</xdr:row>
      <xdr:rowOff>9525</xdr:rowOff>
    </xdr:from>
    <xdr:to>
      <xdr:col>15</xdr:col>
      <xdr:colOff>171451</xdr:colOff>
      <xdr:row>65</xdr:row>
      <xdr:rowOff>19050</xdr:rowOff>
    </xdr:to>
    <xdr:sp macro="" textlink="">
      <xdr:nvSpPr>
        <xdr:cNvPr id="6" name="吹き出し: 角を丸めた四角形 5">
          <a:extLst>
            <a:ext uri="{FF2B5EF4-FFF2-40B4-BE49-F238E27FC236}">
              <a16:creationId xmlns:a16="http://schemas.microsoft.com/office/drawing/2014/main" id="{00000000-0008-0000-0500-000006000000}"/>
            </a:ext>
          </a:extLst>
        </xdr:cNvPr>
        <xdr:cNvSpPr/>
      </xdr:nvSpPr>
      <xdr:spPr>
        <a:xfrm>
          <a:off x="2889251" y="18411825"/>
          <a:ext cx="2616200" cy="790575"/>
        </a:xfrm>
        <a:prstGeom prst="wedgeRoundRectCallout">
          <a:avLst>
            <a:gd name="adj1" fmla="val -74733"/>
            <a:gd name="adj2" fmla="val 32101"/>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多面的機能支払交付金との重複がある場合は、記入してください。</a:t>
          </a:r>
          <a:endParaRPr kumimoji="1" lang="en-US" altLang="ja-JP"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234863</xdr:colOff>
      <xdr:row>12</xdr:row>
      <xdr:rowOff>165274</xdr:rowOff>
    </xdr:from>
    <xdr:to>
      <xdr:col>7</xdr:col>
      <xdr:colOff>339247</xdr:colOff>
      <xdr:row>17</xdr:row>
      <xdr:rowOff>139178</xdr:rowOff>
    </xdr:to>
    <xdr:sp macro="" textlink="">
      <xdr:nvSpPr>
        <xdr:cNvPr id="2" name="テキスト ボックス 1">
          <a:extLst>
            <a:ext uri="{FF2B5EF4-FFF2-40B4-BE49-F238E27FC236}">
              <a16:creationId xmlns:a16="http://schemas.microsoft.com/office/drawing/2014/main" id="{86D096EB-F08E-4DB9-B2DA-F521A72F41DE}"/>
            </a:ext>
          </a:extLst>
        </xdr:cNvPr>
        <xdr:cNvSpPr txBox="1"/>
      </xdr:nvSpPr>
      <xdr:spPr>
        <a:xfrm>
          <a:off x="2487808" y="2905342"/>
          <a:ext cx="4401507" cy="11047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200"/>
            <a:t>別紙図面のとおり</a:t>
          </a:r>
        </a:p>
      </xdr:txBody>
    </xdr:sp>
    <xdr:clientData/>
  </xdr:twoCellAnchor>
  <xdr:twoCellAnchor>
    <xdr:from>
      <xdr:col>5</xdr:col>
      <xdr:colOff>195719</xdr:colOff>
      <xdr:row>18</xdr:row>
      <xdr:rowOff>156575</xdr:rowOff>
    </xdr:from>
    <xdr:to>
      <xdr:col>6</xdr:col>
      <xdr:colOff>1856027</xdr:colOff>
      <xdr:row>23</xdr:row>
      <xdr:rowOff>130480</xdr:rowOff>
    </xdr:to>
    <xdr:sp macro="" textlink="">
      <xdr:nvSpPr>
        <xdr:cNvPr id="3" name="吹き出し: 角を丸めた四角形 1">
          <a:extLst>
            <a:ext uri="{FF2B5EF4-FFF2-40B4-BE49-F238E27FC236}">
              <a16:creationId xmlns:a16="http://schemas.microsoft.com/office/drawing/2014/main" id="{00000000-0008-0000-0500-000002000000}"/>
            </a:ext>
          </a:extLst>
        </xdr:cNvPr>
        <xdr:cNvSpPr/>
      </xdr:nvSpPr>
      <xdr:spPr>
        <a:xfrm>
          <a:off x="4984315" y="4397157"/>
          <a:ext cx="2025650" cy="1148220"/>
        </a:xfrm>
        <a:prstGeom prst="wedgeRoundRectCallout">
          <a:avLst>
            <a:gd name="adj1" fmla="val -66381"/>
            <a:gd name="adj2" fmla="val -55408"/>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図面作成の上、添付</a:t>
          </a:r>
          <a:endParaRPr kumimoji="1" lang="en-US" altLang="ja-JP"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33</xdr:row>
      <xdr:rowOff>0</xdr:rowOff>
    </xdr:from>
    <xdr:to>
      <xdr:col>8</xdr:col>
      <xdr:colOff>957943</xdr:colOff>
      <xdr:row>33</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36</xdr:row>
      <xdr:rowOff>259095</xdr:rowOff>
    </xdr:from>
    <xdr:to>
      <xdr:col>9</xdr:col>
      <xdr:colOff>158681</xdr:colOff>
      <xdr:row>46</xdr:row>
      <xdr:rowOff>23692</xdr:rowOff>
    </xdr:to>
    <xdr:pic>
      <xdr:nvPicPr>
        <xdr:cNvPr id="7" name="図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36</xdr:row>
      <xdr:rowOff>259095</xdr:rowOff>
    </xdr:from>
    <xdr:to>
      <xdr:col>5</xdr:col>
      <xdr:colOff>339477</xdr:colOff>
      <xdr:row>53</xdr:row>
      <xdr:rowOff>168274</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36</xdr:row>
      <xdr:rowOff>259095</xdr:rowOff>
    </xdr:from>
    <xdr:to>
      <xdr:col>1</xdr:col>
      <xdr:colOff>2050670</xdr:colOff>
      <xdr:row>53</xdr:row>
      <xdr:rowOff>168274</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2608036</xdr:colOff>
      <xdr:row>0</xdr:row>
      <xdr:rowOff>113392</xdr:rowOff>
    </xdr:from>
    <xdr:to>
      <xdr:col>6</xdr:col>
      <xdr:colOff>299357</xdr:colOff>
      <xdr:row>2</xdr:row>
      <xdr:rowOff>285749</xdr:rowOff>
    </xdr:to>
    <xdr:sp macro="" textlink="">
      <xdr:nvSpPr>
        <xdr:cNvPr id="4" name="吹き出し: 角を丸めた四角形 3">
          <a:extLst>
            <a:ext uri="{FF2B5EF4-FFF2-40B4-BE49-F238E27FC236}">
              <a16:creationId xmlns:a16="http://schemas.microsoft.com/office/drawing/2014/main" id="{00000000-0008-0000-0700-000004000000}"/>
            </a:ext>
          </a:extLst>
        </xdr:cNvPr>
        <xdr:cNvSpPr/>
      </xdr:nvSpPr>
      <xdr:spPr>
        <a:xfrm>
          <a:off x="6431643" y="113392"/>
          <a:ext cx="2249714" cy="1002393"/>
        </a:xfrm>
        <a:prstGeom prst="wedgeRoundRectCallout">
          <a:avLst>
            <a:gd name="adj1" fmla="val 59502"/>
            <a:gd name="adj2" fmla="val 32983"/>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提出日を記入</a:t>
          </a:r>
          <a:endParaRPr kumimoji="1" lang="en-US" altLang="ja-JP" sz="1200"/>
        </a:p>
        <a:p>
          <a:pPr algn="l"/>
          <a:r>
            <a:rPr kumimoji="1" lang="ja-JP" altLang="en-US" sz="1200"/>
            <a:t>（パソコンで作成する場合、自動入力されます。）</a:t>
          </a:r>
          <a:endParaRPr kumimoji="1" lang="en-US" altLang="ja-JP" sz="1200"/>
        </a:p>
      </xdr:txBody>
    </xdr:sp>
    <xdr:clientData/>
  </xdr:twoCellAnchor>
  <xdr:twoCellAnchor>
    <xdr:from>
      <xdr:col>1</xdr:col>
      <xdr:colOff>1242786</xdr:colOff>
      <xdr:row>2</xdr:row>
      <xdr:rowOff>122463</xdr:rowOff>
    </xdr:from>
    <xdr:to>
      <xdr:col>2</xdr:col>
      <xdr:colOff>1347109</xdr:colOff>
      <xdr:row>4</xdr:row>
      <xdr:rowOff>54427</xdr:rowOff>
    </xdr:to>
    <xdr:sp macro="" textlink="">
      <xdr:nvSpPr>
        <xdr:cNvPr id="6" name="吹き出し: 角を丸めた四角形 5">
          <a:extLst>
            <a:ext uri="{FF2B5EF4-FFF2-40B4-BE49-F238E27FC236}">
              <a16:creationId xmlns:a16="http://schemas.microsoft.com/office/drawing/2014/main" id="{00000000-0008-0000-0700-000006000000}"/>
            </a:ext>
          </a:extLst>
        </xdr:cNvPr>
        <xdr:cNvSpPr/>
      </xdr:nvSpPr>
      <xdr:spPr>
        <a:xfrm>
          <a:off x="2576286" y="952499"/>
          <a:ext cx="2594430" cy="802821"/>
        </a:xfrm>
        <a:prstGeom prst="wedgeRoundRectCallout">
          <a:avLst>
            <a:gd name="adj1" fmla="val -26087"/>
            <a:gd name="adj2" fmla="val 84028"/>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a:t>
          </a:r>
          <a:r>
            <a:rPr kumimoji="1" lang="en-US" altLang="ja-JP" sz="1400"/>
            <a:t>1</a:t>
          </a:r>
          <a:r>
            <a:rPr kumimoji="1" lang="ja-JP" altLang="en-US" sz="1400"/>
            <a:t>名ずつ記入してください。</a:t>
          </a:r>
          <a:endParaRPr kumimoji="1" lang="en-US" altLang="ja-JP" sz="1400"/>
        </a:p>
        <a:p>
          <a:pPr algn="l"/>
          <a:r>
            <a:rPr kumimoji="1" lang="en-US" altLang="ja-JP" sz="1400"/>
            <a:t>※</a:t>
          </a:r>
          <a:r>
            <a:rPr kumimoji="1" lang="ja-JP" altLang="en-US" sz="1400"/>
            <a:t>押印は不要になりました</a:t>
          </a:r>
          <a:endParaRPr kumimoji="1" lang="en-US" altLang="ja-JP" sz="1400"/>
        </a:p>
      </xdr:txBody>
    </xdr:sp>
    <xdr:clientData/>
  </xdr:twoCellAnchor>
  <xdr:twoCellAnchor>
    <xdr:from>
      <xdr:col>10</xdr:col>
      <xdr:colOff>5895</xdr:colOff>
      <xdr:row>4</xdr:row>
      <xdr:rowOff>14514</xdr:rowOff>
    </xdr:from>
    <xdr:to>
      <xdr:col>14</xdr:col>
      <xdr:colOff>352425</xdr:colOff>
      <xdr:row>6</xdr:row>
      <xdr:rowOff>171449</xdr:rowOff>
    </xdr:to>
    <xdr:sp macro="" textlink="">
      <xdr:nvSpPr>
        <xdr:cNvPr id="9" name="吹き出し: 角を丸めた四角形 5">
          <a:extLst>
            <a:ext uri="{FF2B5EF4-FFF2-40B4-BE49-F238E27FC236}">
              <a16:creationId xmlns:a16="http://schemas.microsoft.com/office/drawing/2014/main" id="{00000000-0008-0000-0700-000006000000}"/>
            </a:ext>
          </a:extLst>
        </xdr:cNvPr>
        <xdr:cNvSpPr/>
      </xdr:nvSpPr>
      <xdr:spPr>
        <a:xfrm>
          <a:off x="11226345" y="1709964"/>
          <a:ext cx="2480130" cy="1471385"/>
        </a:xfrm>
        <a:prstGeom prst="wedgeRoundRectCallout">
          <a:avLst>
            <a:gd name="adj1" fmla="val -49892"/>
            <a:gd name="adj2" fmla="val 68551"/>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・分類記号、年齢分類記号</a:t>
          </a:r>
          <a:r>
            <a:rPr kumimoji="1" lang="en-US" altLang="ja-JP" sz="1400"/>
            <a:t>,</a:t>
          </a:r>
        </a:p>
        <a:p>
          <a:pPr algn="l"/>
          <a:r>
            <a:rPr kumimoji="1" lang="ja-JP" altLang="en-US" sz="1400"/>
            <a:t>農業所得の確認に関する承諾も忘れずに記入してください。</a:t>
          </a:r>
          <a:endParaRPr kumimoji="1" lang="en-US" altLang="ja-JP" sz="14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26</xdr:col>
      <xdr:colOff>42182</xdr:colOff>
      <xdr:row>197</xdr:row>
      <xdr:rowOff>208643</xdr:rowOff>
    </xdr:from>
    <xdr:ext cx="4648388" cy="242374"/>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712325" y="60869286"/>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twoCellAnchor>
    <xdr:from>
      <xdr:col>17</xdr:col>
      <xdr:colOff>127001</xdr:colOff>
      <xdr:row>4</xdr:row>
      <xdr:rowOff>99785</xdr:rowOff>
    </xdr:from>
    <xdr:to>
      <xdr:col>20</xdr:col>
      <xdr:colOff>172357</xdr:colOff>
      <xdr:row>7</xdr:row>
      <xdr:rowOff>194632</xdr:rowOff>
    </xdr:to>
    <xdr:sp macro="" textlink="">
      <xdr:nvSpPr>
        <xdr:cNvPr id="3" name="吹き出し: 角を丸めた四角形 2">
          <a:extLst>
            <a:ext uri="{FF2B5EF4-FFF2-40B4-BE49-F238E27FC236}">
              <a16:creationId xmlns:a16="http://schemas.microsoft.com/office/drawing/2014/main" id="{00000000-0008-0000-0800-000003000000}"/>
            </a:ext>
          </a:extLst>
        </xdr:cNvPr>
        <xdr:cNvSpPr/>
      </xdr:nvSpPr>
      <xdr:spPr>
        <a:xfrm>
          <a:off x="6431644" y="1006928"/>
          <a:ext cx="1442356" cy="775204"/>
        </a:xfrm>
        <a:prstGeom prst="wedgeRoundRectCallout">
          <a:avLst>
            <a:gd name="adj1" fmla="val 9390"/>
            <a:gd name="adj2" fmla="val 91946"/>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氏名を記入。</a:t>
          </a:r>
          <a:endParaRPr kumimoji="1" lang="en-US" altLang="ja-JP" sz="1400"/>
        </a:p>
      </xdr:txBody>
    </xdr:sp>
    <xdr:clientData/>
  </xdr:twoCellAnchor>
  <xdr:twoCellAnchor>
    <xdr:from>
      <xdr:col>8</xdr:col>
      <xdr:colOff>263071</xdr:colOff>
      <xdr:row>15</xdr:row>
      <xdr:rowOff>453570</xdr:rowOff>
    </xdr:from>
    <xdr:to>
      <xdr:col>19</xdr:col>
      <xdr:colOff>149680</xdr:colOff>
      <xdr:row>18</xdr:row>
      <xdr:rowOff>81640</xdr:rowOff>
    </xdr:to>
    <xdr:sp macro="" textlink="">
      <xdr:nvSpPr>
        <xdr:cNvPr id="4" name="吹き出し: 角を丸めた四角形 3">
          <a:extLst>
            <a:ext uri="{FF2B5EF4-FFF2-40B4-BE49-F238E27FC236}">
              <a16:creationId xmlns:a16="http://schemas.microsoft.com/office/drawing/2014/main" id="{00000000-0008-0000-0800-000004000000}"/>
            </a:ext>
          </a:extLst>
        </xdr:cNvPr>
        <xdr:cNvSpPr/>
      </xdr:nvSpPr>
      <xdr:spPr>
        <a:xfrm>
          <a:off x="3270250" y="5025570"/>
          <a:ext cx="4717144" cy="784677"/>
        </a:xfrm>
        <a:prstGeom prst="wedgeRoundRectCallout">
          <a:avLst>
            <a:gd name="adj1" fmla="val -54566"/>
            <a:gd name="adj2" fmla="val 44244"/>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中核的リーダーを指定する場合は記入。</a:t>
          </a:r>
          <a:endParaRPr kumimoji="1" lang="en-US" altLang="ja-JP" sz="1400"/>
        </a:p>
        <a:p>
          <a:pPr algn="l"/>
          <a:r>
            <a:rPr kumimoji="1" lang="en-US" altLang="ja-JP" sz="1400"/>
            <a:t>※</a:t>
          </a:r>
          <a:r>
            <a:rPr kumimoji="1" lang="ja-JP" altLang="en-US" sz="1400"/>
            <a:t>中核的リーダーの指定は義務ではありません</a:t>
          </a:r>
          <a:endParaRPr kumimoji="1" lang="en-US" altLang="ja-JP" sz="1400"/>
        </a:p>
      </xdr:txBody>
    </xdr:sp>
    <xdr:clientData/>
  </xdr:twoCellAnchor>
  <xdr:twoCellAnchor>
    <xdr:from>
      <xdr:col>13</xdr:col>
      <xdr:colOff>435427</xdr:colOff>
      <xdr:row>27</xdr:row>
      <xdr:rowOff>326571</xdr:rowOff>
    </xdr:from>
    <xdr:to>
      <xdr:col>23</xdr:col>
      <xdr:colOff>54427</xdr:colOff>
      <xdr:row>30</xdr:row>
      <xdr:rowOff>85776</xdr:rowOff>
    </xdr:to>
    <xdr:sp macro="" textlink="">
      <xdr:nvSpPr>
        <xdr:cNvPr id="5" name="吹き出し: 角を丸めた四角形 4">
          <a:extLst>
            <a:ext uri="{FF2B5EF4-FFF2-40B4-BE49-F238E27FC236}">
              <a16:creationId xmlns:a16="http://schemas.microsoft.com/office/drawing/2014/main" id="{00000000-0008-0000-0800-000005000000}"/>
            </a:ext>
          </a:extLst>
        </xdr:cNvPr>
        <xdr:cNvSpPr/>
      </xdr:nvSpPr>
      <xdr:spPr>
        <a:xfrm>
          <a:off x="5170713" y="9125857"/>
          <a:ext cx="3474357" cy="811490"/>
        </a:xfrm>
        <a:prstGeom prst="wedgeRoundRectCallout">
          <a:avLst>
            <a:gd name="adj1" fmla="val -70244"/>
            <a:gd name="adj2" fmla="val 54972"/>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リーダーの割合を計算して記入。（パソコンの場合、自動入力されます。</a:t>
          </a:r>
          <a:endParaRPr kumimoji="1" lang="en-US" altLang="ja-JP" sz="1400"/>
        </a:p>
      </xdr:txBody>
    </xdr:sp>
    <xdr:clientData/>
  </xdr:twoCellAnchor>
  <xdr:twoCellAnchor>
    <xdr:from>
      <xdr:col>14</xdr:col>
      <xdr:colOff>435429</xdr:colOff>
      <xdr:row>35</xdr:row>
      <xdr:rowOff>136072</xdr:rowOff>
    </xdr:from>
    <xdr:to>
      <xdr:col>23</xdr:col>
      <xdr:colOff>163285</xdr:colOff>
      <xdr:row>39</xdr:row>
      <xdr:rowOff>54430</xdr:rowOff>
    </xdr:to>
    <xdr:sp macro="" textlink="">
      <xdr:nvSpPr>
        <xdr:cNvPr id="6" name="吹き出し: 角を丸めた四角形 5">
          <a:extLst>
            <a:ext uri="{FF2B5EF4-FFF2-40B4-BE49-F238E27FC236}">
              <a16:creationId xmlns:a16="http://schemas.microsoft.com/office/drawing/2014/main" id="{00000000-0008-0000-0800-000006000000}"/>
            </a:ext>
          </a:extLst>
        </xdr:cNvPr>
        <xdr:cNvSpPr/>
      </xdr:nvSpPr>
      <xdr:spPr>
        <a:xfrm>
          <a:off x="5705929" y="11702143"/>
          <a:ext cx="3047999" cy="725716"/>
        </a:xfrm>
        <a:prstGeom prst="wedgeRoundRectCallout">
          <a:avLst>
            <a:gd name="adj1" fmla="val -62730"/>
            <a:gd name="adj2" fmla="val 56826"/>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該当項目に〇を記入。その他の場合は、カッコ内に詳細を記入</a:t>
          </a:r>
          <a:endParaRPr kumimoji="1" lang="en-US" altLang="ja-JP" sz="1400"/>
        </a:p>
      </xdr:txBody>
    </xdr:sp>
    <xdr:clientData/>
  </xdr:twoCellAnchor>
  <xdr:twoCellAnchor>
    <xdr:from>
      <xdr:col>15</xdr:col>
      <xdr:colOff>81643</xdr:colOff>
      <xdr:row>43</xdr:row>
      <xdr:rowOff>224972</xdr:rowOff>
    </xdr:from>
    <xdr:to>
      <xdr:col>23</xdr:col>
      <xdr:colOff>161472</xdr:colOff>
      <xdr:row>49</xdr:row>
      <xdr:rowOff>426356</xdr:rowOff>
    </xdr:to>
    <xdr:sp macro="" textlink="">
      <xdr:nvSpPr>
        <xdr:cNvPr id="8" name="吹き出し: 角を丸めた四角形 7">
          <a:extLst>
            <a:ext uri="{FF2B5EF4-FFF2-40B4-BE49-F238E27FC236}">
              <a16:creationId xmlns:a16="http://schemas.microsoft.com/office/drawing/2014/main" id="{00000000-0008-0000-0800-000008000000}"/>
            </a:ext>
          </a:extLst>
        </xdr:cNvPr>
        <xdr:cNvSpPr/>
      </xdr:nvSpPr>
      <xdr:spPr>
        <a:xfrm>
          <a:off x="5887357" y="13505543"/>
          <a:ext cx="2864758" cy="1562099"/>
        </a:xfrm>
        <a:prstGeom prst="wedgeRoundRectCallout">
          <a:avLst>
            <a:gd name="adj1" fmla="val -62920"/>
            <a:gd name="adj2" fmla="val 33558"/>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該当項目に〇を記入。その他の場合は、カッコ内に詳細を記入。</a:t>
          </a:r>
          <a:endParaRPr kumimoji="1" lang="en-US" altLang="ja-JP" sz="1400"/>
        </a:p>
        <a:p>
          <a:pPr algn="l"/>
          <a:r>
            <a:rPr kumimoji="1" lang="en-US" altLang="ja-JP" sz="1400"/>
            <a:t>※</a:t>
          </a:r>
          <a:r>
            <a:rPr kumimoji="1" lang="ja-JP" altLang="en-US" sz="1400"/>
            <a:t>多面的機能支払交付金との重複がある場合は、その他欄に記載例のとおり記入。</a:t>
          </a:r>
          <a:endParaRPr kumimoji="1" lang="en-US" altLang="ja-JP" sz="1400"/>
        </a:p>
      </xdr:txBody>
    </xdr:sp>
    <xdr:clientData/>
  </xdr:twoCellAnchor>
  <xdr:twoCellAnchor>
    <xdr:from>
      <xdr:col>8</xdr:col>
      <xdr:colOff>332015</xdr:colOff>
      <xdr:row>50</xdr:row>
      <xdr:rowOff>449035</xdr:rowOff>
    </xdr:from>
    <xdr:to>
      <xdr:col>18</xdr:col>
      <xdr:colOff>353785</xdr:colOff>
      <xdr:row>52</xdr:row>
      <xdr:rowOff>208642</xdr:rowOff>
    </xdr:to>
    <xdr:sp macro="" textlink="">
      <xdr:nvSpPr>
        <xdr:cNvPr id="9" name="吹き出し: 角を丸めた四角形 8">
          <a:extLst>
            <a:ext uri="{FF2B5EF4-FFF2-40B4-BE49-F238E27FC236}">
              <a16:creationId xmlns:a16="http://schemas.microsoft.com/office/drawing/2014/main" id="{00000000-0008-0000-0800-000009000000}"/>
            </a:ext>
          </a:extLst>
        </xdr:cNvPr>
        <xdr:cNvSpPr/>
      </xdr:nvSpPr>
      <xdr:spPr>
        <a:xfrm>
          <a:off x="3339194" y="15512142"/>
          <a:ext cx="4267198" cy="739321"/>
        </a:xfrm>
        <a:prstGeom prst="wedgeRoundRectCallout">
          <a:avLst>
            <a:gd name="adj1" fmla="val -61284"/>
            <a:gd name="adj2" fmla="val 59665"/>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面積（㎡）、交付上限額を計算し、記入。</a:t>
          </a:r>
          <a:endParaRPr kumimoji="1" lang="en-US" altLang="ja-JP" sz="1400"/>
        </a:p>
        <a:p>
          <a:pPr algn="l"/>
          <a:r>
            <a:rPr kumimoji="1" lang="ja-JP" altLang="en-US" sz="1400"/>
            <a:t>（パソコンで作成する場合、自動入力されます。）</a:t>
          </a:r>
          <a:endParaRPr kumimoji="1" lang="en-US" altLang="ja-JP" sz="1400"/>
        </a:p>
      </xdr:txBody>
    </xdr:sp>
    <xdr:clientData/>
  </xdr:twoCellAnchor>
  <xdr:twoCellAnchor>
    <xdr:from>
      <xdr:col>8</xdr:col>
      <xdr:colOff>139701</xdr:colOff>
      <xdr:row>64</xdr:row>
      <xdr:rowOff>90714</xdr:rowOff>
    </xdr:from>
    <xdr:to>
      <xdr:col>20</xdr:col>
      <xdr:colOff>136072</xdr:colOff>
      <xdr:row>67</xdr:row>
      <xdr:rowOff>215899</xdr:rowOff>
    </xdr:to>
    <xdr:sp macro="" textlink="">
      <xdr:nvSpPr>
        <xdr:cNvPr id="10" name="吹き出し: 角を丸めた四角形 9">
          <a:extLst>
            <a:ext uri="{FF2B5EF4-FFF2-40B4-BE49-F238E27FC236}">
              <a16:creationId xmlns:a16="http://schemas.microsoft.com/office/drawing/2014/main" id="{00000000-0008-0000-0800-00000A000000}"/>
            </a:ext>
          </a:extLst>
        </xdr:cNvPr>
        <xdr:cNvSpPr/>
      </xdr:nvSpPr>
      <xdr:spPr>
        <a:xfrm>
          <a:off x="3146880" y="20324535"/>
          <a:ext cx="5412013" cy="669471"/>
        </a:xfrm>
        <a:prstGeom prst="wedgeRoundRectCallout">
          <a:avLst>
            <a:gd name="adj1" fmla="val -60865"/>
            <a:gd name="adj2" fmla="val 34574"/>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加算措置に取り組む場合、該当の措置の欄に必要事項を記入。</a:t>
          </a:r>
          <a:endParaRPr kumimoji="1" lang="en-US" altLang="ja-JP" sz="1400"/>
        </a:p>
        <a:p>
          <a:pPr algn="l"/>
          <a:r>
            <a:rPr kumimoji="1" lang="ja-JP" altLang="en-US" sz="1400"/>
            <a:t>（パソコンで作成する場合、自動入力されます。）</a:t>
          </a:r>
          <a:endParaRPr kumimoji="1" lang="en-US" altLang="ja-JP" sz="1400"/>
        </a:p>
      </xdr:txBody>
    </xdr:sp>
    <xdr:clientData/>
  </xdr:twoCellAnchor>
  <xdr:twoCellAnchor>
    <xdr:from>
      <xdr:col>3</xdr:col>
      <xdr:colOff>258536</xdr:colOff>
      <xdr:row>88</xdr:row>
      <xdr:rowOff>181427</xdr:rowOff>
    </xdr:from>
    <xdr:to>
      <xdr:col>15</xdr:col>
      <xdr:colOff>122464</xdr:colOff>
      <xdr:row>94</xdr:row>
      <xdr:rowOff>122464</xdr:rowOff>
    </xdr:to>
    <xdr:sp macro="" textlink="">
      <xdr:nvSpPr>
        <xdr:cNvPr id="11" name="吹き出し: 角を丸めた四角形 10">
          <a:extLst>
            <a:ext uri="{FF2B5EF4-FFF2-40B4-BE49-F238E27FC236}">
              <a16:creationId xmlns:a16="http://schemas.microsoft.com/office/drawing/2014/main" id="{00000000-0008-0000-0800-00000B000000}"/>
            </a:ext>
          </a:extLst>
        </xdr:cNvPr>
        <xdr:cNvSpPr/>
      </xdr:nvSpPr>
      <xdr:spPr>
        <a:xfrm>
          <a:off x="1415143" y="26429606"/>
          <a:ext cx="5061857" cy="1424215"/>
        </a:xfrm>
        <a:prstGeom prst="wedgeRoundRectCallout">
          <a:avLst>
            <a:gd name="adj1" fmla="val -36737"/>
            <a:gd name="adj2" fmla="val -59617"/>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上限単価に応じて、面積を入力</a:t>
          </a:r>
          <a:endParaRPr kumimoji="1" lang="en-US" altLang="ja-JP" sz="1200"/>
        </a:p>
        <a:p>
          <a:pPr algn="l"/>
          <a:r>
            <a:rPr kumimoji="1" lang="en-US" altLang="ja-JP" sz="1200"/>
            <a:t>50,000</a:t>
          </a:r>
          <a:r>
            <a:rPr kumimoji="1" lang="ja-JP" altLang="en-US" sz="1200"/>
            <a:t>㎡まで（～</a:t>
          </a:r>
          <a:r>
            <a:rPr kumimoji="1" lang="en-US" altLang="ja-JP" sz="1200"/>
            <a:t>5ha</a:t>
          </a:r>
          <a:r>
            <a:rPr kumimoji="1" lang="ja-JP" altLang="en-US" sz="1200"/>
            <a:t>）：</a:t>
          </a:r>
          <a:r>
            <a:rPr kumimoji="1" lang="en-US" altLang="ja-JP" sz="1200"/>
            <a:t>10,000</a:t>
          </a:r>
          <a:r>
            <a:rPr kumimoji="1" lang="ja-JP" altLang="en-US" sz="1200"/>
            <a:t>円</a:t>
          </a:r>
          <a:endParaRPr kumimoji="1" lang="en-US" altLang="ja-JP" sz="1200"/>
        </a:p>
        <a:p>
          <a:pPr algn="l"/>
          <a:r>
            <a:rPr kumimoji="1" lang="en-US" altLang="ja-JP" sz="1200"/>
            <a:t>50,000</a:t>
          </a:r>
          <a:r>
            <a:rPr kumimoji="1" lang="ja-JP" altLang="en-US" sz="1200"/>
            <a:t>㎡（</a:t>
          </a:r>
          <a:r>
            <a:rPr kumimoji="1" lang="en-US" altLang="ja-JP" sz="1200"/>
            <a:t>5ha</a:t>
          </a:r>
          <a:r>
            <a:rPr kumimoji="1" lang="ja-JP" altLang="en-US" sz="1200"/>
            <a:t>）を超える部分～</a:t>
          </a:r>
          <a:r>
            <a:rPr kumimoji="1" lang="en-US" altLang="ja-JP" sz="1200"/>
            <a:t>100,000</a:t>
          </a:r>
          <a:r>
            <a:rPr kumimoji="1" lang="ja-JP" altLang="en-US" sz="1200"/>
            <a:t>㎡</a:t>
          </a:r>
          <a:r>
            <a:rPr kumimoji="1" lang="en-US" altLang="ja-JP" sz="1200"/>
            <a:t>(10ha)</a:t>
          </a:r>
          <a:r>
            <a:rPr kumimoji="1" lang="ja-JP" altLang="en-US" sz="1200"/>
            <a:t>まで：</a:t>
          </a:r>
          <a:r>
            <a:rPr kumimoji="1" lang="en-US" altLang="ja-JP" sz="1200"/>
            <a:t>4,000</a:t>
          </a:r>
          <a:r>
            <a:rPr kumimoji="1" lang="ja-JP" altLang="en-US" sz="1200"/>
            <a:t>円</a:t>
          </a:r>
          <a:endParaRPr kumimoji="1" lang="en-US" altLang="ja-JP" sz="1200"/>
        </a:p>
        <a:p>
          <a:pPr algn="l"/>
          <a:r>
            <a:rPr kumimoji="1" lang="en-US" altLang="ja-JP" sz="1200"/>
            <a:t>100,000</a:t>
          </a:r>
          <a:r>
            <a:rPr kumimoji="1" lang="ja-JP" altLang="en-US" sz="1200"/>
            <a:t>㎡（</a:t>
          </a:r>
          <a:r>
            <a:rPr kumimoji="1" lang="en-US" altLang="ja-JP" sz="1200"/>
            <a:t>10ha</a:t>
          </a:r>
          <a:r>
            <a:rPr kumimoji="1" lang="ja-JP" altLang="en-US" sz="1200"/>
            <a:t>）を超える部分～</a:t>
          </a:r>
          <a:r>
            <a:rPr kumimoji="1" lang="en-US" altLang="ja-JP" sz="1200"/>
            <a:t>400,000</a:t>
          </a:r>
          <a:r>
            <a:rPr kumimoji="1" lang="ja-JP" altLang="en-US" sz="1200"/>
            <a:t>㎡（</a:t>
          </a:r>
          <a:r>
            <a:rPr kumimoji="1" lang="en-US" altLang="ja-JP" sz="1200"/>
            <a:t>30ha</a:t>
          </a:r>
          <a:r>
            <a:rPr kumimoji="1" lang="ja-JP" altLang="en-US" sz="1200"/>
            <a:t>）まで：</a:t>
          </a:r>
          <a:r>
            <a:rPr kumimoji="1" lang="en-US" altLang="ja-JP" sz="1200"/>
            <a:t>1,000</a:t>
          </a:r>
          <a:r>
            <a:rPr kumimoji="1" lang="ja-JP" altLang="en-US" sz="1200"/>
            <a:t>円</a:t>
          </a:r>
          <a:endParaRPr kumimoji="1" lang="en-US" altLang="ja-JP" sz="1200"/>
        </a:p>
        <a:p>
          <a:pPr algn="l"/>
          <a:endParaRPr kumimoji="1" lang="en-US" altLang="ja-JP" sz="1200"/>
        </a:p>
      </xdr:txBody>
    </xdr:sp>
    <xdr:clientData/>
  </xdr:twoCellAnchor>
  <xdr:twoCellAnchor>
    <xdr:from>
      <xdr:col>3</xdr:col>
      <xdr:colOff>331109</xdr:colOff>
      <xdr:row>98</xdr:row>
      <xdr:rowOff>72571</xdr:rowOff>
    </xdr:from>
    <xdr:to>
      <xdr:col>10</xdr:col>
      <xdr:colOff>72572</xdr:colOff>
      <xdr:row>102</xdr:row>
      <xdr:rowOff>27213</xdr:rowOff>
    </xdr:to>
    <xdr:sp macro="" textlink="">
      <xdr:nvSpPr>
        <xdr:cNvPr id="12" name="吹き出し: 角を丸めた四角形 11">
          <a:extLst>
            <a:ext uri="{FF2B5EF4-FFF2-40B4-BE49-F238E27FC236}">
              <a16:creationId xmlns:a16="http://schemas.microsoft.com/office/drawing/2014/main" id="{00000000-0008-0000-0800-00000C000000}"/>
            </a:ext>
          </a:extLst>
        </xdr:cNvPr>
        <xdr:cNvSpPr/>
      </xdr:nvSpPr>
      <xdr:spPr>
        <a:xfrm>
          <a:off x="1487716" y="28729214"/>
          <a:ext cx="2884713" cy="879928"/>
        </a:xfrm>
        <a:prstGeom prst="wedgeRoundRectCallout">
          <a:avLst>
            <a:gd name="adj1" fmla="val -32769"/>
            <a:gd name="adj2" fmla="val -73512"/>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ネットワーク化または統合する集落協定名と面積（㎡）を記入。</a:t>
          </a:r>
          <a:endParaRPr kumimoji="1" lang="en-US" altLang="ja-JP" sz="1400"/>
        </a:p>
      </xdr:txBody>
    </xdr:sp>
    <xdr:clientData/>
  </xdr:twoCellAnchor>
  <xdr:twoCellAnchor>
    <xdr:from>
      <xdr:col>14</xdr:col>
      <xdr:colOff>507999</xdr:colOff>
      <xdr:row>125</xdr:row>
      <xdr:rowOff>31751</xdr:rowOff>
    </xdr:from>
    <xdr:to>
      <xdr:col>22</xdr:col>
      <xdr:colOff>54429</xdr:colOff>
      <xdr:row>128</xdr:row>
      <xdr:rowOff>113392</xdr:rowOff>
    </xdr:to>
    <xdr:sp macro="" textlink="">
      <xdr:nvSpPr>
        <xdr:cNvPr id="14" name="吹き出し: 角を丸めた四角形 13">
          <a:extLst>
            <a:ext uri="{FF2B5EF4-FFF2-40B4-BE49-F238E27FC236}">
              <a16:creationId xmlns:a16="http://schemas.microsoft.com/office/drawing/2014/main" id="{00000000-0008-0000-0800-00000E000000}"/>
            </a:ext>
          </a:extLst>
        </xdr:cNvPr>
        <xdr:cNvSpPr/>
      </xdr:nvSpPr>
      <xdr:spPr>
        <a:xfrm>
          <a:off x="6277428" y="35219822"/>
          <a:ext cx="2744108" cy="693963"/>
        </a:xfrm>
        <a:prstGeom prst="wedgeRoundRectCallout">
          <a:avLst>
            <a:gd name="adj1" fmla="val -59656"/>
            <a:gd name="adj2" fmla="val 37148"/>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該当する将来像に〇を記入。</a:t>
          </a:r>
          <a:endParaRPr kumimoji="1" lang="en-US" altLang="ja-JP" sz="1400"/>
        </a:p>
      </xdr:txBody>
    </xdr:sp>
    <xdr:clientData/>
  </xdr:twoCellAnchor>
  <xdr:twoCellAnchor>
    <xdr:from>
      <xdr:col>2</xdr:col>
      <xdr:colOff>211365</xdr:colOff>
      <xdr:row>139</xdr:row>
      <xdr:rowOff>156935</xdr:rowOff>
    </xdr:from>
    <xdr:to>
      <xdr:col>8</xdr:col>
      <xdr:colOff>449035</xdr:colOff>
      <xdr:row>140</xdr:row>
      <xdr:rowOff>383720</xdr:rowOff>
    </xdr:to>
    <xdr:sp macro="" textlink="">
      <xdr:nvSpPr>
        <xdr:cNvPr id="15" name="吹き出し: 角を丸めた四角形 14">
          <a:extLst>
            <a:ext uri="{FF2B5EF4-FFF2-40B4-BE49-F238E27FC236}">
              <a16:creationId xmlns:a16="http://schemas.microsoft.com/office/drawing/2014/main" id="{00000000-0008-0000-0800-00000F000000}"/>
            </a:ext>
          </a:extLst>
        </xdr:cNvPr>
        <xdr:cNvSpPr/>
      </xdr:nvSpPr>
      <xdr:spPr>
        <a:xfrm>
          <a:off x="755651" y="40298006"/>
          <a:ext cx="2700563" cy="689428"/>
        </a:xfrm>
        <a:prstGeom prst="wedgeRoundRectCallout">
          <a:avLst>
            <a:gd name="adj1" fmla="val -45140"/>
            <a:gd name="adj2" fmla="val -77519"/>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該当する将来像に〇を記入。</a:t>
          </a:r>
          <a:endParaRPr kumimoji="1" lang="en-US" altLang="ja-JP" sz="1400"/>
        </a:p>
      </xdr:txBody>
    </xdr:sp>
    <xdr:clientData/>
  </xdr:twoCellAnchor>
  <xdr:twoCellAnchor>
    <xdr:from>
      <xdr:col>15</xdr:col>
      <xdr:colOff>14516</xdr:colOff>
      <xdr:row>139</xdr:row>
      <xdr:rowOff>141513</xdr:rowOff>
    </xdr:from>
    <xdr:to>
      <xdr:col>22</xdr:col>
      <xdr:colOff>13607</xdr:colOff>
      <xdr:row>140</xdr:row>
      <xdr:rowOff>368298</xdr:rowOff>
    </xdr:to>
    <xdr:sp macro="" textlink="">
      <xdr:nvSpPr>
        <xdr:cNvPr id="16" name="吹き出し: 角を丸めた四角形 15">
          <a:extLst>
            <a:ext uri="{FF2B5EF4-FFF2-40B4-BE49-F238E27FC236}">
              <a16:creationId xmlns:a16="http://schemas.microsoft.com/office/drawing/2014/main" id="{00000000-0008-0000-0800-000010000000}"/>
            </a:ext>
          </a:extLst>
        </xdr:cNvPr>
        <xdr:cNvSpPr/>
      </xdr:nvSpPr>
      <xdr:spPr>
        <a:xfrm>
          <a:off x="6369052" y="40282584"/>
          <a:ext cx="2611662" cy="689428"/>
        </a:xfrm>
        <a:prstGeom prst="wedgeRoundRectCallout">
          <a:avLst>
            <a:gd name="adj1" fmla="val -45140"/>
            <a:gd name="adj2" fmla="val -77519"/>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400"/>
            <a:t>5</a:t>
          </a:r>
          <a:r>
            <a:rPr kumimoji="1" lang="ja-JP" altLang="en-US" sz="1400"/>
            <a:t>年後の活動計画（目標）を記入。</a:t>
          </a:r>
          <a:endParaRPr kumimoji="1" lang="en-US" altLang="ja-JP" sz="1400"/>
        </a:p>
      </xdr:txBody>
    </xdr:sp>
    <xdr:clientData/>
  </xdr:twoCellAnchor>
  <xdr:twoCellAnchor>
    <xdr:from>
      <xdr:col>2</xdr:col>
      <xdr:colOff>263072</xdr:colOff>
      <xdr:row>153</xdr:row>
      <xdr:rowOff>122464</xdr:rowOff>
    </xdr:from>
    <xdr:to>
      <xdr:col>13</xdr:col>
      <xdr:colOff>54429</xdr:colOff>
      <xdr:row>154</xdr:row>
      <xdr:rowOff>222249</xdr:rowOff>
    </xdr:to>
    <xdr:sp macro="" textlink="">
      <xdr:nvSpPr>
        <xdr:cNvPr id="17" name="吹き出し: 角を丸めた四角形 16">
          <a:extLst>
            <a:ext uri="{FF2B5EF4-FFF2-40B4-BE49-F238E27FC236}">
              <a16:creationId xmlns:a16="http://schemas.microsoft.com/office/drawing/2014/main" id="{00000000-0008-0000-0800-000011000000}"/>
            </a:ext>
          </a:extLst>
        </xdr:cNvPr>
        <xdr:cNvSpPr/>
      </xdr:nvSpPr>
      <xdr:spPr>
        <a:xfrm>
          <a:off x="807358" y="45842464"/>
          <a:ext cx="4431392" cy="684892"/>
        </a:xfrm>
        <a:prstGeom prst="wedgeRoundRectCallout">
          <a:avLst>
            <a:gd name="adj1" fmla="val -57334"/>
            <a:gd name="adj2" fmla="val 34481"/>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管理の対象とする水路・農道等が、多面的機能支払交付金と重複する場合は、チェックを記入。</a:t>
          </a:r>
          <a:endParaRPr kumimoji="1" lang="en-US" altLang="ja-JP" sz="1400"/>
        </a:p>
      </xdr:txBody>
    </xdr:sp>
    <xdr:clientData/>
  </xdr:twoCellAnchor>
  <xdr:twoCellAnchor>
    <xdr:from>
      <xdr:col>2</xdr:col>
      <xdr:colOff>392791</xdr:colOff>
      <xdr:row>157</xdr:row>
      <xdr:rowOff>13607</xdr:rowOff>
    </xdr:from>
    <xdr:to>
      <xdr:col>13</xdr:col>
      <xdr:colOff>408215</xdr:colOff>
      <xdr:row>160</xdr:row>
      <xdr:rowOff>13608</xdr:rowOff>
    </xdr:to>
    <xdr:sp macro="" textlink="">
      <xdr:nvSpPr>
        <xdr:cNvPr id="18" name="吹き出し: 角を丸めた四角形 17">
          <a:extLst>
            <a:ext uri="{FF2B5EF4-FFF2-40B4-BE49-F238E27FC236}">
              <a16:creationId xmlns:a16="http://schemas.microsoft.com/office/drawing/2014/main" id="{00000000-0008-0000-0800-000012000000}"/>
            </a:ext>
          </a:extLst>
        </xdr:cNvPr>
        <xdr:cNvSpPr/>
      </xdr:nvSpPr>
      <xdr:spPr>
        <a:xfrm>
          <a:off x="937077" y="47475321"/>
          <a:ext cx="4655459" cy="1387930"/>
        </a:xfrm>
        <a:prstGeom prst="wedgeRoundRectCallout">
          <a:avLst>
            <a:gd name="adj1" fmla="val -60474"/>
            <a:gd name="adj2" fmla="val -45027"/>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600"/>
            <a:t>農業生産活動として取り組む項目に〇を記入。</a:t>
          </a:r>
          <a:endParaRPr kumimoji="1" lang="en-US" altLang="ja-JP" sz="1600"/>
        </a:p>
        <a:p>
          <a:pPr algn="l"/>
          <a:r>
            <a:rPr kumimoji="1" lang="en-US" altLang="ja-JP" sz="1600"/>
            <a:t>※</a:t>
          </a:r>
          <a:r>
            <a:rPr kumimoji="1" lang="ja-JP" altLang="ja-JP" sz="1400">
              <a:solidFill>
                <a:schemeClr val="lt1"/>
              </a:solidFill>
              <a:effectLst/>
              <a:latin typeface="+mn-lt"/>
              <a:ea typeface="+mn-ea"/>
              <a:cs typeface="+mn-cs"/>
            </a:rPr>
            <a:t>管理の対象とする水路・農道等が、多面的機能支払交付金と重複する場合は</a:t>
          </a:r>
          <a:r>
            <a:rPr kumimoji="1" lang="en-US" altLang="ja-JP" sz="1400">
              <a:solidFill>
                <a:schemeClr val="lt1"/>
              </a:solidFill>
              <a:effectLst/>
              <a:latin typeface="+mn-lt"/>
              <a:ea typeface="+mn-ea"/>
              <a:cs typeface="+mn-cs"/>
            </a:rPr>
            <a:t>2</a:t>
          </a:r>
          <a:r>
            <a:rPr kumimoji="1" lang="ja-JP" altLang="en-US" sz="1400">
              <a:solidFill>
                <a:schemeClr val="lt1"/>
              </a:solidFill>
              <a:effectLst/>
              <a:latin typeface="+mn-lt"/>
              <a:ea typeface="+mn-ea"/>
              <a:cs typeface="+mn-cs"/>
            </a:rPr>
            <a:t>つ以上〇を記入すること。</a:t>
          </a:r>
          <a:endParaRPr kumimoji="1" lang="en-US" altLang="ja-JP" sz="1600"/>
        </a:p>
      </xdr:txBody>
    </xdr:sp>
    <xdr:clientData/>
  </xdr:twoCellAnchor>
  <xdr:twoCellAnchor>
    <xdr:from>
      <xdr:col>17</xdr:col>
      <xdr:colOff>272142</xdr:colOff>
      <xdr:row>164</xdr:row>
      <xdr:rowOff>163285</xdr:rowOff>
    </xdr:from>
    <xdr:to>
      <xdr:col>23</xdr:col>
      <xdr:colOff>299357</xdr:colOff>
      <xdr:row>168</xdr:row>
      <xdr:rowOff>29028</xdr:rowOff>
    </xdr:to>
    <xdr:sp macro="" textlink="">
      <xdr:nvSpPr>
        <xdr:cNvPr id="19" name="吹き出し: 角を丸めた四角形 18">
          <a:extLst>
            <a:ext uri="{FF2B5EF4-FFF2-40B4-BE49-F238E27FC236}">
              <a16:creationId xmlns:a16="http://schemas.microsoft.com/office/drawing/2014/main" id="{00000000-0008-0000-0800-000013000000}"/>
            </a:ext>
          </a:extLst>
        </xdr:cNvPr>
        <xdr:cNvSpPr/>
      </xdr:nvSpPr>
      <xdr:spPr>
        <a:xfrm>
          <a:off x="7170963" y="50890714"/>
          <a:ext cx="2530930" cy="1022350"/>
        </a:xfrm>
        <a:prstGeom prst="wedgeRoundRectCallout">
          <a:avLst>
            <a:gd name="adj1" fmla="val -69438"/>
            <a:gd name="adj2" fmla="val 39040"/>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該当する管理方法に〇を記入。</a:t>
          </a:r>
          <a:endParaRPr kumimoji="1" lang="en-US" altLang="ja-JP" sz="1400"/>
        </a:p>
        <a:p>
          <a:pPr algn="l"/>
          <a:r>
            <a:rPr kumimoji="1" lang="en-US" altLang="ja-JP" sz="1400"/>
            <a:t>※</a:t>
          </a:r>
          <a:r>
            <a:rPr kumimoji="1" lang="ja-JP" altLang="en-US" sz="1400"/>
            <a:t>複数選択可</a:t>
          </a:r>
          <a:endParaRPr kumimoji="1" lang="en-US" altLang="ja-JP" sz="1400"/>
        </a:p>
      </xdr:txBody>
    </xdr:sp>
    <xdr:clientData/>
  </xdr:twoCellAnchor>
  <xdr:twoCellAnchor>
    <xdr:from>
      <xdr:col>15</xdr:col>
      <xdr:colOff>478971</xdr:colOff>
      <xdr:row>175</xdr:row>
      <xdr:rowOff>16327</xdr:rowOff>
    </xdr:from>
    <xdr:to>
      <xdr:col>23</xdr:col>
      <xdr:colOff>362857</xdr:colOff>
      <xdr:row>181</xdr:row>
      <xdr:rowOff>394608</xdr:rowOff>
    </xdr:to>
    <xdr:sp macro="" textlink="">
      <xdr:nvSpPr>
        <xdr:cNvPr id="21" name="吹き出し: 角を丸めた四角形 20">
          <a:extLst>
            <a:ext uri="{FF2B5EF4-FFF2-40B4-BE49-F238E27FC236}">
              <a16:creationId xmlns:a16="http://schemas.microsoft.com/office/drawing/2014/main" id="{00000000-0008-0000-0800-000015000000}"/>
            </a:ext>
          </a:extLst>
        </xdr:cNvPr>
        <xdr:cNvSpPr/>
      </xdr:nvSpPr>
      <xdr:spPr>
        <a:xfrm>
          <a:off x="6833507" y="53519613"/>
          <a:ext cx="2931886" cy="2922816"/>
        </a:xfrm>
        <a:prstGeom prst="wedgeRoundRectCallout">
          <a:avLst>
            <a:gd name="adj1" fmla="val -49425"/>
            <a:gd name="adj2" fmla="val -59530"/>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多面的機能を増進する活動として実施する項目に〇を記入。</a:t>
          </a:r>
          <a:endParaRPr kumimoji="1" lang="en-US" altLang="ja-JP" sz="1400"/>
        </a:p>
        <a:p>
          <a:pPr algn="l"/>
          <a:r>
            <a:rPr kumimoji="1" lang="en-US" altLang="ja-JP" sz="1400"/>
            <a:t>※</a:t>
          </a:r>
          <a:r>
            <a:rPr kumimoji="1" lang="ja-JP" altLang="en-US" sz="1400"/>
            <a:t>複数選択可だが、最低</a:t>
          </a:r>
          <a:r>
            <a:rPr kumimoji="1" lang="en-US" altLang="ja-JP" sz="1400"/>
            <a:t>1</a:t>
          </a:r>
          <a:r>
            <a:rPr kumimoji="1" lang="ja-JP" altLang="en-US" sz="1400"/>
            <a:t>つ以上。</a:t>
          </a:r>
          <a:endParaRPr kumimoji="1" lang="en-US" altLang="ja-JP" sz="1400"/>
        </a:p>
        <a:p>
          <a:pPr algn="l"/>
          <a:r>
            <a:rPr kumimoji="1" lang="en-US" altLang="ja-JP" sz="1400"/>
            <a:t>※</a:t>
          </a:r>
          <a:r>
            <a:rPr kumimoji="1" lang="ja-JP" altLang="en-US" sz="1400"/>
            <a:t>毎年実施できるものを選択してください。</a:t>
          </a:r>
          <a:endParaRPr kumimoji="1" lang="en-US" altLang="ja-JP" sz="1400"/>
        </a:p>
        <a:p>
          <a:pPr algn="l"/>
          <a:r>
            <a:rPr kumimoji="1" lang="en-US" altLang="ja-JP" sz="1400" b="1"/>
            <a:t>※</a:t>
          </a:r>
          <a:r>
            <a:rPr kumimoji="1" lang="ja-JP" altLang="en-US" sz="1400" b="1"/>
            <a:t>ここで選択した項目については、実績報告時に必ず日誌を提出してください。</a:t>
          </a:r>
          <a:endParaRPr kumimoji="1" lang="en-US" altLang="ja-JP" sz="1400" b="1"/>
        </a:p>
      </xdr:txBody>
    </xdr:sp>
    <xdr:clientData/>
  </xdr:twoCellAnchor>
  <xdr:twoCellAnchor>
    <xdr:from>
      <xdr:col>8</xdr:col>
      <xdr:colOff>290286</xdr:colOff>
      <xdr:row>193</xdr:row>
      <xdr:rowOff>54428</xdr:rowOff>
    </xdr:from>
    <xdr:to>
      <xdr:col>12</xdr:col>
      <xdr:colOff>249464</xdr:colOff>
      <xdr:row>196</xdr:row>
      <xdr:rowOff>244928</xdr:rowOff>
    </xdr:to>
    <xdr:sp macro="" textlink="">
      <xdr:nvSpPr>
        <xdr:cNvPr id="22" name="吹き出し: 角を丸めた四角形 21">
          <a:extLst>
            <a:ext uri="{FF2B5EF4-FFF2-40B4-BE49-F238E27FC236}">
              <a16:creationId xmlns:a16="http://schemas.microsoft.com/office/drawing/2014/main" id="{00000000-0008-0000-0800-000016000000}"/>
            </a:ext>
          </a:extLst>
        </xdr:cNvPr>
        <xdr:cNvSpPr/>
      </xdr:nvSpPr>
      <xdr:spPr>
        <a:xfrm>
          <a:off x="3297465" y="60279642"/>
          <a:ext cx="1796142" cy="952500"/>
        </a:xfrm>
        <a:prstGeom prst="wedgeRoundRectCallout">
          <a:avLst>
            <a:gd name="adj1" fmla="val -76330"/>
            <a:gd name="adj2" fmla="val -66037"/>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400"/>
            <a:t>記載不要</a:t>
          </a:r>
          <a:endParaRPr kumimoji="1" lang="en-US" altLang="ja-JP" sz="1400" b="1"/>
        </a:p>
      </xdr:txBody>
    </xdr:sp>
    <xdr:clientData/>
  </xdr:twoCellAnchor>
  <xdr:twoCellAnchor>
    <xdr:from>
      <xdr:col>9</xdr:col>
      <xdr:colOff>556081</xdr:colOff>
      <xdr:row>199</xdr:row>
      <xdr:rowOff>217714</xdr:rowOff>
    </xdr:from>
    <xdr:to>
      <xdr:col>19</xdr:col>
      <xdr:colOff>371929</xdr:colOff>
      <xdr:row>202</xdr:row>
      <xdr:rowOff>43544</xdr:rowOff>
    </xdr:to>
    <xdr:sp macro="" textlink="">
      <xdr:nvSpPr>
        <xdr:cNvPr id="23" name="吹き出し: 角を丸めた四角形 22">
          <a:extLst>
            <a:ext uri="{FF2B5EF4-FFF2-40B4-BE49-F238E27FC236}">
              <a16:creationId xmlns:a16="http://schemas.microsoft.com/office/drawing/2014/main" id="{00000000-0008-0000-0800-000017000000}"/>
            </a:ext>
          </a:extLst>
        </xdr:cNvPr>
        <xdr:cNvSpPr/>
      </xdr:nvSpPr>
      <xdr:spPr>
        <a:xfrm>
          <a:off x="4216402" y="61966928"/>
          <a:ext cx="3993241" cy="465366"/>
        </a:xfrm>
        <a:prstGeom prst="wedgeRoundRectCallout">
          <a:avLst>
            <a:gd name="adj1" fmla="val -57681"/>
            <a:gd name="adj2" fmla="val -45665"/>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400"/>
            <a:t>交付金を代表して受け取る人の氏名を記入。</a:t>
          </a:r>
          <a:endParaRPr kumimoji="1" lang="en-US" altLang="ja-JP" sz="1400" b="1"/>
        </a:p>
      </xdr:txBody>
    </xdr:sp>
    <xdr:clientData/>
  </xdr:twoCellAnchor>
  <xdr:twoCellAnchor>
    <xdr:from>
      <xdr:col>17</xdr:col>
      <xdr:colOff>27211</xdr:colOff>
      <xdr:row>220</xdr:row>
      <xdr:rowOff>172357</xdr:rowOff>
    </xdr:from>
    <xdr:to>
      <xdr:col>23</xdr:col>
      <xdr:colOff>380999</xdr:colOff>
      <xdr:row>227</xdr:row>
      <xdr:rowOff>136071</xdr:rowOff>
    </xdr:to>
    <xdr:sp macro="" textlink="">
      <xdr:nvSpPr>
        <xdr:cNvPr id="24" name="吹き出し: 角を丸めた四角形 23">
          <a:extLst>
            <a:ext uri="{FF2B5EF4-FFF2-40B4-BE49-F238E27FC236}">
              <a16:creationId xmlns:a16="http://schemas.microsoft.com/office/drawing/2014/main" id="{00000000-0008-0000-0800-000018000000}"/>
            </a:ext>
          </a:extLst>
        </xdr:cNvPr>
        <xdr:cNvSpPr/>
      </xdr:nvSpPr>
      <xdr:spPr>
        <a:xfrm>
          <a:off x="6926032" y="67024250"/>
          <a:ext cx="2857503" cy="2045607"/>
        </a:xfrm>
        <a:prstGeom prst="wedgeRoundRectCallout">
          <a:avLst>
            <a:gd name="adj1" fmla="val -62755"/>
            <a:gd name="adj2" fmla="val -23987"/>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交付金を積み立てる場合は記入。</a:t>
          </a:r>
          <a:endParaRPr kumimoji="1" lang="en-US" altLang="ja-JP" sz="1400"/>
        </a:p>
        <a:p>
          <a:pPr algn="l"/>
          <a:r>
            <a:rPr kumimoji="1" lang="en-US" altLang="ja-JP" sz="1400"/>
            <a:t>※</a:t>
          </a:r>
          <a:r>
            <a:rPr kumimoji="1" lang="ja-JP" altLang="en-US" sz="1400"/>
            <a:t>交付金は分かりやすく、厳格に管理してください。</a:t>
          </a:r>
          <a:endParaRPr kumimoji="1" lang="en-US" altLang="ja-JP" sz="1400"/>
        </a:p>
        <a:p>
          <a:pPr algn="l"/>
          <a:r>
            <a:rPr kumimoji="1" lang="ja-JP" altLang="en-US" sz="1400"/>
            <a:t>（毎年定額にする、積立用の口座を作るなど）</a:t>
          </a:r>
          <a:endParaRPr kumimoji="1" lang="en-US" altLang="ja-JP" sz="1400"/>
        </a:p>
      </xdr:txBody>
    </xdr:sp>
    <xdr:clientData/>
  </xdr:twoCellAnchor>
  <xdr:twoCellAnchor>
    <xdr:from>
      <xdr:col>10</xdr:col>
      <xdr:colOff>537933</xdr:colOff>
      <xdr:row>227</xdr:row>
      <xdr:rowOff>111579</xdr:rowOff>
    </xdr:from>
    <xdr:to>
      <xdr:col>17</xdr:col>
      <xdr:colOff>22678</xdr:colOff>
      <xdr:row>229</xdr:row>
      <xdr:rowOff>77107</xdr:rowOff>
    </xdr:to>
    <xdr:sp macro="" textlink="">
      <xdr:nvSpPr>
        <xdr:cNvPr id="25" name="吹き出し: 角を丸めた四角形 24">
          <a:extLst>
            <a:ext uri="{FF2B5EF4-FFF2-40B4-BE49-F238E27FC236}">
              <a16:creationId xmlns:a16="http://schemas.microsoft.com/office/drawing/2014/main" id="{00000000-0008-0000-0800-000019000000}"/>
            </a:ext>
          </a:extLst>
        </xdr:cNvPr>
        <xdr:cNvSpPr/>
      </xdr:nvSpPr>
      <xdr:spPr>
        <a:xfrm>
          <a:off x="4837790" y="69045365"/>
          <a:ext cx="2083709" cy="428171"/>
        </a:xfrm>
        <a:prstGeom prst="wedgeRoundRectCallout">
          <a:avLst>
            <a:gd name="adj1" fmla="val -79277"/>
            <a:gd name="adj2" fmla="val 130339"/>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使途は具体的に記入。</a:t>
          </a:r>
          <a:endParaRPr kumimoji="1" lang="en-US" altLang="ja-JP" sz="1400"/>
        </a:p>
      </xdr:txBody>
    </xdr:sp>
    <xdr:clientData/>
  </xdr:twoCellAnchor>
  <xdr:twoCellAnchor>
    <xdr:from>
      <xdr:col>13</xdr:col>
      <xdr:colOff>517073</xdr:colOff>
      <xdr:row>230</xdr:row>
      <xdr:rowOff>108858</xdr:rowOff>
    </xdr:from>
    <xdr:to>
      <xdr:col>23</xdr:col>
      <xdr:colOff>381000</xdr:colOff>
      <xdr:row>234</xdr:row>
      <xdr:rowOff>127001</xdr:rowOff>
    </xdr:to>
    <xdr:sp macro="" textlink="">
      <xdr:nvSpPr>
        <xdr:cNvPr id="26" name="吹き出し: 角を丸めた四角形 25">
          <a:extLst>
            <a:ext uri="{FF2B5EF4-FFF2-40B4-BE49-F238E27FC236}">
              <a16:creationId xmlns:a16="http://schemas.microsoft.com/office/drawing/2014/main" id="{00000000-0008-0000-0800-00001A000000}"/>
            </a:ext>
          </a:extLst>
        </xdr:cNvPr>
        <xdr:cNvSpPr/>
      </xdr:nvSpPr>
      <xdr:spPr>
        <a:xfrm>
          <a:off x="5701394" y="69736608"/>
          <a:ext cx="4082142" cy="943429"/>
        </a:xfrm>
        <a:prstGeom prst="wedgeRoundRectCallout">
          <a:avLst>
            <a:gd name="adj1" fmla="val -61824"/>
            <a:gd name="adj2" fmla="val 49653"/>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繰越金は、災害発生時の対応にのみ使用可能。</a:t>
          </a:r>
          <a:endParaRPr kumimoji="1" lang="en-US" altLang="ja-JP" sz="1400"/>
        </a:p>
        <a:p>
          <a:pPr algn="l"/>
          <a:r>
            <a:rPr kumimoji="1" lang="en-US" altLang="ja-JP" sz="1400"/>
            <a:t>※</a:t>
          </a:r>
          <a:r>
            <a:rPr kumimoji="1" lang="ja-JP" altLang="en-US" sz="1400"/>
            <a:t>令和</a:t>
          </a:r>
          <a:r>
            <a:rPr kumimoji="1" lang="en-US" altLang="ja-JP" sz="1400"/>
            <a:t>7</a:t>
          </a:r>
          <a:r>
            <a:rPr kumimoji="1" lang="ja-JP" altLang="en-US" sz="1400"/>
            <a:t>年度は初年度なので、ここに記入することはありません。</a:t>
          </a:r>
          <a:endParaRPr kumimoji="1" lang="en-US" altLang="ja-JP" sz="1400"/>
        </a:p>
      </xdr:txBody>
    </xdr:sp>
    <xdr:clientData/>
  </xdr:twoCellAnchor>
  <xdr:twoCellAnchor>
    <xdr:from>
      <xdr:col>8</xdr:col>
      <xdr:colOff>544285</xdr:colOff>
      <xdr:row>239</xdr:row>
      <xdr:rowOff>188686</xdr:rowOff>
    </xdr:from>
    <xdr:to>
      <xdr:col>18</xdr:col>
      <xdr:colOff>161471</xdr:colOff>
      <xdr:row>243</xdr:row>
      <xdr:rowOff>54429</xdr:rowOff>
    </xdr:to>
    <xdr:sp macro="" textlink="">
      <xdr:nvSpPr>
        <xdr:cNvPr id="27" name="吹き出し: 角を丸めた四角形 26">
          <a:extLst>
            <a:ext uri="{FF2B5EF4-FFF2-40B4-BE49-F238E27FC236}">
              <a16:creationId xmlns:a16="http://schemas.microsoft.com/office/drawing/2014/main" id="{00000000-0008-0000-0800-00001B000000}"/>
            </a:ext>
          </a:extLst>
        </xdr:cNvPr>
        <xdr:cNvSpPr/>
      </xdr:nvSpPr>
      <xdr:spPr>
        <a:xfrm>
          <a:off x="3551464" y="71898329"/>
          <a:ext cx="3862614" cy="1022350"/>
        </a:xfrm>
        <a:prstGeom prst="wedgeRoundRectCallout">
          <a:avLst>
            <a:gd name="adj1" fmla="val 60757"/>
            <a:gd name="adj2" fmla="val -27798"/>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面積割個人配分金の金額と配分割合を記入。</a:t>
          </a:r>
          <a:endParaRPr kumimoji="1" lang="en-US" altLang="ja-JP" sz="1400"/>
        </a:p>
        <a:p>
          <a:pPr algn="l"/>
          <a:r>
            <a:rPr kumimoji="1" lang="en-US" altLang="ja-JP" sz="1400"/>
            <a:t>※</a:t>
          </a:r>
          <a:r>
            <a:rPr kumimoji="1" lang="ja-JP" altLang="en-US" sz="1400"/>
            <a:t>割合は、パソコンで作成する場合は自動計算</a:t>
          </a:r>
          <a:endParaRPr kumimoji="1" lang="en-US" altLang="ja-JP" sz="1400"/>
        </a:p>
      </xdr:txBody>
    </xdr:sp>
    <xdr:clientData/>
  </xdr:twoCellAnchor>
  <xdr:twoCellAnchor>
    <xdr:from>
      <xdr:col>5</xdr:col>
      <xdr:colOff>186873</xdr:colOff>
      <xdr:row>247</xdr:row>
      <xdr:rowOff>367393</xdr:rowOff>
    </xdr:from>
    <xdr:to>
      <xdr:col>10</xdr:col>
      <xdr:colOff>117929</xdr:colOff>
      <xdr:row>249</xdr:row>
      <xdr:rowOff>166008</xdr:rowOff>
    </xdr:to>
    <xdr:sp macro="" textlink="">
      <xdr:nvSpPr>
        <xdr:cNvPr id="28" name="吹き出し: 角を丸めた四角形 27">
          <a:extLst>
            <a:ext uri="{FF2B5EF4-FFF2-40B4-BE49-F238E27FC236}">
              <a16:creationId xmlns:a16="http://schemas.microsoft.com/office/drawing/2014/main" id="{00000000-0008-0000-0800-00001C000000}"/>
            </a:ext>
          </a:extLst>
        </xdr:cNvPr>
        <xdr:cNvSpPr/>
      </xdr:nvSpPr>
      <xdr:spPr>
        <a:xfrm>
          <a:off x="2295980" y="74158929"/>
          <a:ext cx="2121806" cy="506186"/>
        </a:xfrm>
        <a:prstGeom prst="wedgeRoundRectCallout">
          <a:avLst>
            <a:gd name="adj1" fmla="val -121160"/>
            <a:gd name="adj2" fmla="val -58145"/>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400"/>
            <a:t>10</a:t>
          </a:r>
          <a:r>
            <a:rPr kumimoji="1" lang="ja-JP" altLang="en-US" sz="1400"/>
            <a:t>割協定の場合は〇</a:t>
          </a:r>
          <a:endParaRPr kumimoji="1" lang="en-US" altLang="ja-JP" sz="1400"/>
        </a:p>
      </xdr:txBody>
    </xdr:sp>
    <xdr:clientData/>
  </xdr:twoCellAnchor>
  <xdr:twoCellAnchor>
    <xdr:from>
      <xdr:col>2</xdr:col>
      <xdr:colOff>58058</xdr:colOff>
      <xdr:row>258</xdr:row>
      <xdr:rowOff>239485</xdr:rowOff>
    </xdr:from>
    <xdr:to>
      <xdr:col>10</xdr:col>
      <xdr:colOff>54428</xdr:colOff>
      <xdr:row>260</xdr:row>
      <xdr:rowOff>798284</xdr:rowOff>
    </xdr:to>
    <xdr:sp macro="" textlink="">
      <xdr:nvSpPr>
        <xdr:cNvPr id="29" name="吹き出し: 角を丸めた四角形 28">
          <a:extLst>
            <a:ext uri="{FF2B5EF4-FFF2-40B4-BE49-F238E27FC236}">
              <a16:creationId xmlns:a16="http://schemas.microsoft.com/office/drawing/2014/main" id="{00000000-0008-0000-0800-00001D000000}"/>
            </a:ext>
          </a:extLst>
        </xdr:cNvPr>
        <xdr:cNvSpPr/>
      </xdr:nvSpPr>
      <xdr:spPr>
        <a:xfrm>
          <a:off x="547915" y="76112914"/>
          <a:ext cx="3434442" cy="2209799"/>
        </a:xfrm>
        <a:prstGeom prst="wedgeRoundRectCallout">
          <a:avLst>
            <a:gd name="adj1" fmla="val -60012"/>
            <a:gd name="adj2" fmla="val -41724"/>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加算措置を受ける場合は〇。</a:t>
          </a:r>
          <a:endParaRPr kumimoji="1" lang="en-US" altLang="ja-JP" sz="1400"/>
        </a:p>
        <a:p>
          <a:pPr algn="l"/>
          <a:r>
            <a:rPr kumimoji="1" lang="ja-JP" altLang="en-US" sz="1400"/>
            <a:t>また、取り組み期間、現状、達成目標について記載。</a:t>
          </a:r>
          <a:endParaRPr kumimoji="1" lang="en-US" altLang="ja-JP" sz="1400"/>
        </a:p>
        <a:p>
          <a:pPr algn="l"/>
          <a:endParaRPr kumimoji="1" lang="en-US" altLang="ja-JP" sz="1400"/>
        </a:p>
        <a:p>
          <a:pPr algn="l"/>
          <a:r>
            <a:rPr kumimoji="1" lang="en-US" altLang="ja-JP" sz="1400"/>
            <a:t>※</a:t>
          </a:r>
          <a:r>
            <a:rPr kumimoji="1" lang="ja-JP" altLang="en-US" sz="1400"/>
            <a:t>加算目標策定の手引きも参照</a:t>
          </a:r>
          <a:endParaRPr kumimoji="1" lang="en-US" altLang="ja-JP" sz="1400"/>
        </a:p>
      </xdr:txBody>
    </xdr:sp>
    <xdr:clientData/>
  </xdr:twoCellAnchor>
  <xdr:twoCellAnchor>
    <xdr:from>
      <xdr:col>13</xdr:col>
      <xdr:colOff>557893</xdr:colOff>
      <xdr:row>208</xdr:row>
      <xdr:rowOff>247648</xdr:rowOff>
    </xdr:from>
    <xdr:to>
      <xdr:col>19</xdr:col>
      <xdr:colOff>108857</xdr:colOff>
      <xdr:row>213</xdr:row>
      <xdr:rowOff>204107</xdr:rowOff>
    </xdr:to>
    <xdr:sp macro="" textlink="">
      <xdr:nvSpPr>
        <xdr:cNvPr id="30" name="吹き出し: 角を丸めた四角形 22">
          <a:extLst>
            <a:ext uri="{FF2B5EF4-FFF2-40B4-BE49-F238E27FC236}">
              <a16:creationId xmlns:a16="http://schemas.microsoft.com/office/drawing/2014/main" id="{00000000-0008-0000-0800-000017000000}"/>
            </a:ext>
          </a:extLst>
        </xdr:cNvPr>
        <xdr:cNvSpPr/>
      </xdr:nvSpPr>
      <xdr:spPr>
        <a:xfrm>
          <a:off x="5742214" y="64024327"/>
          <a:ext cx="2204357" cy="1249137"/>
        </a:xfrm>
        <a:prstGeom prst="wedgeRoundRectCallout">
          <a:avLst>
            <a:gd name="adj1" fmla="val 68862"/>
            <a:gd name="adj2" fmla="val -39129"/>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交付金の使途と金額を計算し</a:t>
          </a:r>
          <a:r>
            <a:rPr kumimoji="1" lang="ja-JP" altLang="en-US" sz="1400" b="1"/>
            <a:t>、記入。</a:t>
          </a:r>
          <a:endParaRPr kumimoji="1" lang="en-US" altLang="ja-JP" sz="1400"/>
        </a:p>
      </xdr:txBody>
    </xdr:sp>
    <xdr:clientData/>
  </xdr:twoCellAnchor>
  <xdr:twoCellAnchor>
    <xdr:from>
      <xdr:col>14</xdr:col>
      <xdr:colOff>102509</xdr:colOff>
      <xdr:row>109</xdr:row>
      <xdr:rowOff>184150</xdr:rowOff>
    </xdr:from>
    <xdr:to>
      <xdr:col>23</xdr:col>
      <xdr:colOff>435429</xdr:colOff>
      <xdr:row>115</xdr:row>
      <xdr:rowOff>122465</xdr:rowOff>
    </xdr:to>
    <xdr:sp macro="" textlink="">
      <xdr:nvSpPr>
        <xdr:cNvPr id="31" name="吹き出し: 角を丸めた四角形 11">
          <a:extLst>
            <a:ext uri="{FF2B5EF4-FFF2-40B4-BE49-F238E27FC236}">
              <a16:creationId xmlns:a16="http://schemas.microsoft.com/office/drawing/2014/main" id="{00000000-0008-0000-0800-00000C000000}"/>
            </a:ext>
          </a:extLst>
        </xdr:cNvPr>
        <xdr:cNvSpPr/>
      </xdr:nvSpPr>
      <xdr:spPr>
        <a:xfrm>
          <a:off x="5871938" y="31684686"/>
          <a:ext cx="3966027" cy="1244600"/>
        </a:xfrm>
        <a:prstGeom prst="wedgeRoundRectCallout">
          <a:avLst>
            <a:gd name="adj1" fmla="val -57298"/>
            <a:gd name="adj2" fmla="val -42584"/>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面積（㎡）と金額を記入。（パソコンで作成する場合、自動入力）</a:t>
          </a:r>
          <a:endParaRPr kumimoji="1" lang="en-US" altLang="ja-JP" sz="1400"/>
        </a:p>
      </xdr:txBody>
    </xdr:sp>
    <xdr:clientData/>
  </xdr:twoCellAnchor>
  <xdr:twoCellAnchor>
    <xdr:from>
      <xdr:col>10</xdr:col>
      <xdr:colOff>363766</xdr:colOff>
      <xdr:row>103</xdr:row>
      <xdr:rowOff>50798</xdr:rowOff>
    </xdr:from>
    <xdr:to>
      <xdr:col>22</xdr:col>
      <xdr:colOff>176893</xdr:colOff>
      <xdr:row>107</xdr:row>
      <xdr:rowOff>40822</xdr:rowOff>
    </xdr:to>
    <xdr:sp macro="" textlink="">
      <xdr:nvSpPr>
        <xdr:cNvPr id="32" name="吹き出し: 角を丸めた四角形 11">
          <a:extLst>
            <a:ext uri="{FF2B5EF4-FFF2-40B4-BE49-F238E27FC236}">
              <a16:creationId xmlns:a16="http://schemas.microsoft.com/office/drawing/2014/main" id="{00000000-0008-0000-0800-00000C000000}"/>
            </a:ext>
          </a:extLst>
        </xdr:cNvPr>
        <xdr:cNvSpPr/>
      </xdr:nvSpPr>
      <xdr:spPr>
        <a:xfrm>
          <a:off x="4663623" y="29932084"/>
          <a:ext cx="4480377" cy="915309"/>
        </a:xfrm>
        <a:prstGeom prst="wedgeRoundRectCallout">
          <a:avLst>
            <a:gd name="adj1" fmla="val -67208"/>
            <a:gd name="adj2" fmla="val -59875"/>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t>集落数と面積の合計を記入。（</a:t>
          </a:r>
          <a:r>
            <a:rPr kumimoji="1" lang="ja-JP" altLang="ja-JP" sz="1400">
              <a:solidFill>
                <a:schemeClr val="lt1"/>
              </a:solidFill>
              <a:effectLst/>
              <a:latin typeface="+mn-lt"/>
              <a:ea typeface="+mn-ea"/>
              <a:cs typeface="+mn-cs"/>
            </a:rPr>
            <a:t>パソコンで作成する場合、自動入力）</a:t>
          </a:r>
          <a:endParaRPr lang="ja-JP" altLang="ja-JP" sz="1400">
            <a:effectLst/>
          </a:endParaRPr>
        </a:p>
      </xdr:txBody>
    </xdr:sp>
    <xdr:clientData/>
  </xdr:twoCellAnchor>
  <xdr:twoCellAnchor>
    <xdr:from>
      <xdr:col>14</xdr:col>
      <xdr:colOff>173266</xdr:colOff>
      <xdr:row>118</xdr:row>
      <xdr:rowOff>146049</xdr:rowOff>
    </xdr:from>
    <xdr:to>
      <xdr:col>23</xdr:col>
      <xdr:colOff>258535</xdr:colOff>
      <xdr:row>124</xdr:row>
      <xdr:rowOff>68035</xdr:rowOff>
    </xdr:to>
    <xdr:sp macro="" textlink="">
      <xdr:nvSpPr>
        <xdr:cNvPr id="34" name="吹き出し: 角を丸めた四角形 11">
          <a:extLst>
            <a:ext uri="{FF2B5EF4-FFF2-40B4-BE49-F238E27FC236}">
              <a16:creationId xmlns:a16="http://schemas.microsoft.com/office/drawing/2014/main" id="{00000000-0008-0000-0800-00000C000000}"/>
            </a:ext>
          </a:extLst>
        </xdr:cNvPr>
        <xdr:cNvSpPr/>
      </xdr:nvSpPr>
      <xdr:spPr>
        <a:xfrm>
          <a:off x="5942695" y="33878156"/>
          <a:ext cx="3718376" cy="1146629"/>
        </a:xfrm>
        <a:prstGeom prst="wedgeRoundRectCallout">
          <a:avLst>
            <a:gd name="adj1" fmla="val -57298"/>
            <a:gd name="adj2" fmla="val -42584"/>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面積（㎡）と金額を記入。（パソコンで作成する場合、自動入力）</a:t>
          </a:r>
          <a:endParaRPr kumimoji="1" lang="en-US" altLang="ja-JP" sz="14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102058</xdr:colOff>
      <xdr:row>34</xdr:row>
      <xdr:rowOff>36527</xdr:rowOff>
    </xdr:from>
    <xdr:to>
      <xdr:col>17</xdr:col>
      <xdr:colOff>703300</xdr:colOff>
      <xdr:row>63</xdr:row>
      <xdr:rowOff>179932</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238125</xdr:colOff>
      <xdr:row>1</xdr:row>
      <xdr:rowOff>277811</xdr:rowOff>
    </xdr:from>
    <xdr:to>
      <xdr:col>19</xdr:col>
      <xdr:colOff>246063</xdr:colOff>
      <xdr:row>12</xdr:row>
      <xdr:rowOff>7938</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9278938" y="555624"/>
          <a:ext cx="2682875" cy="1135064"/>
        </a:xfrm>
        <a:prstGeom prst="wedgeRoundRectCallout">
          <a:avLst>
            <a:gd name="adj1" fmla="val 30627"/>
            <a:gd name="adj2" fmla="val 65816"/>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どちらかに〇。</a:t>
          </a:r>
          <a:endParaRPr kumimoji="1" lang="en-US" altLang="ja-JP" sz="1400"/>
        </a:p>
        <a:p>
          <a:pPr algn="l"/>
          <a:r>
            <a:rPr kumimoji="1" lang="en-US" altLang="ja-JP" sz="1400"/>
            <a:t>※10</a:t>
          </a:r>
          <a:r>
            <a:rPr kumimoji="1" lang="ja-JP" altLang="en-US" sz="1400"/>
            <a:t>割協定→作成するに〇</a:t>
          </a:r>
          <a:endParaRPr kumimoji="1" lang="en-US" altLang="ja-JP" sz="1400"/>
        </a:p>
        <a:p>
          <a:pPr algn="l"/>
          <a:r>
            <a:rPr kumimoji="1" lang="en-US" altLang="ja-JP" sz="1400"/>
            <a:t>※8</a:t>
          </a:r>
          <a:r>
            <a:rPr kumimoji="1" lang="ja-JP" altLang="en-US" sz="1400"/>
            <a:t>割協定→作成しないに〇</a:t>
          </a:r>
        </a:p>
      </xdr:txBody>
    </xdr:sp>
    <xdr:clientData/>
  </xdr:twoCellAnchor>
  <xdr:twoCellAnchor>
    <xdr:from>
      <xdr:col>3</xdr:col>
      <xdr:colOff>477837</xdr:colOff>
      <xdr:row>2</xdr:row>
      <xdr:rowOff>15875</xdr:rowOff>
    </xdr:from>
    <xdr:to>
      <xdr:col>16</xdr:col>
      <xdr:colOff>87313</xdr:colOff>
      <xdr:row>3</xdr:row>
      <xdr:rowOff>390526</xdr:rowOff>
    </xdr:to>
    <xdr:sp macro="" textlink="">
      <xdr:nvSpPr>
        <xdr:cNvPr id="5" name="四角形: 角を丸くする 4">
          <a:extLst>
            <a:ext uri="{FF2B5EF4-FFF2-40B4-BE49-F238E27FC236}">
              <a16:creationId xmlns:a16="http://schemas.microsoft.com/office/drawing/2014/main" id="{00000000-0008-0000-0100-000005000000}"/>
            </a:ext>
          </a:extLst>
        </xdr:cNvPr>
        <xdr:cNvSpPr/>
      </xdr:nvSpPr>
      <xdr:spPr>
        <a:xfrm>
          <a:off x="2740025" y="595313"/>
          <a:ext cx="6388101" cy="676276"/>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a:t>💡まずこの様式から作成すると、スムーズです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148167</xdr:colOff>
      <xdr:row>6</xdr:row>
      <xdr:rowOff>105833</xdr:rowOff>
    </xdr:from>
    <xdr:to>
      <xdr:col>31</xdr:col>
      <xdr:colOff>97165</xdr:colOff>
      <xdr:row>17</xdr:row>
      <xdr:rowOff>0</xdr:rowOff>
    </xdr:to>
    <xdr:sp macro="" textlink="">
      <xdr:nvSpPr>
        <xdr:cNvPr id="2" name="吹き出し: 角を丸めた四角形 1">
          <a:extLst>
            <a:ext uri="{FF2B5EF4-FFF2-40B4-BE49-F238E27FC236}">
              <a16:creationId xmlns:a16="http://schemas.microsoft.com/office/drawing/2014/main" id="{00000000-0008-0000-0900-000002000000}"/>
            </a:ext>
          </a:extLst>
        </xdr:cNvPr>
        <xdr:cNvSpPr/>
      </xdr:nvSpPr>
      <xdr:spPr>
        <a:xfrm>
          <a:off x="2370667" y="2857500"/>
          <a:ext cx="3434442" cy="2209799"/>
        </a:xfrm>
        <a:prstGeom prst="wedgeRoundRectCallout">
          <a:avLst>
            <a:gd name="adj1" fmla="val -60012"/>
            <a:gd name="adj2" fmla="val -41724"/>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協定の対象となっている農業用施設の管理者、管理方法等について、例を参考に記載。</a:t>
          </a:r>
          <a:endParaRPr kumimoji="1" lang="en-US" altLang="ja-JP"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77611</xdr:colOff>
      <xdr:row>1</xdr:row>
      <xdr:rowOff>91722</xdr:rowOff>
    </xdr:from>
    <xdr:to>
      <xdr:col>35</xdr:col>
      <xdr:colOff>199974</xdr:colOff>
      <xdr:row>8</xdr:row>
      <xdr:rowOff>3024</xdr:rowOff>
    </xdr:to>
    <xdr:sp macro="" textlink="">
      <xdr:nvSpPr>
        <xdr:cNvPr id="2" name="吹き出し: 角を丸めた四角形 1">
          <a:extLst>
            <a:ext uri="{FF2B5EF4-FFF2-40B4-BE49-F238E27FC236}">
              <a16:creationId xmlns:a16="http://schemas.microsoft.com/office/drawing/2014/main" id="{00000000-0008-0000-0A00-000002000000}"/>
            </a:ext>
          </a:extLst>
        </xdr:cNvPr>
        <xdr:cNvSpPr/>
      </xdr:nvSpPr>
      <xdr:spPr>
        <a:xfrm>
          <a:off x="3965222" y="317500"/>
          <a:ext cx="3396141" cy="1781024"/>
        </a:xfrm>
        <a:prstGeom prst="wedgeRoundRectCallout">
          <a:avLst>
            <a:gd name="adj1" fmla="val -60012"/>
            <a:gd name="adj2" fmla="val -41724"/>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該当する土地改良事業があれば記載。</a:t>
          </a:r>
          <a:endParaRPr kumimoji="1" lang="en-US" altLang="ja-JP"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322830</xdr:colOff>
      <xdr:row>2</xdr:row>
      <xdr:rowOff>59530</xdr:rowOff>
    </xdr:from>
    <xdr:to>
      <xdr:col>7</xdr:col>
      <xdr:colOff>523874</xdr:colOff>
      <xdr:row>8</xdr:row>
      <xdr:rowOff>166686</xdr:rowOff>
    </xdr:to>
    <xdr:sp macro="" textlink="">
      <xdr:nvSpPr>
        <xdr:cNvPr id="2" name="図形 2">
          <a:extLst>
            <a:ext uri="{FF2B5EF4-FFF2-40B4-BE49-F238E27FC236}">
              <a16:creationId xmlns:a16="http://schemas.microsoft.com/office/drawing/2014/main" id="{00000000-0008-0000-0C00-000003000000}"/>
            </a:ext>
          </a:extLst>
        </xdr:cNvPr>
        <xdr:cNvSpPr/>
      </xdr:nvSpPr>
      <xdr:spPr>
        <a:xfrm>
          <a:off x="977674" y="452436"/>
          <a:ext cx="4094388" cy="1750219"/>
        </a:xfrm>
        <a:prstGeom prst="wedgeRoundRectCallout">
          <a:avLst>
            <a:gd name="adj1" fmla="val -33908"/>
            <a:gd name="adj2" fmla="val 63025"/>
            <a:gd name="adj3" fmla="val 16667"/>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anchor="ctr"/>
        <a:lstStyle/>
        <a:p>
          <a:r>
            <a:rPr kumimoji="1" lang="ja-JP" altLang="en-US" sz="1600" b="1" u="none">
              <a:solidFill>
                <a:schemeClr val="bg1"/>
              </a:solidFill>
              <a:latin typeface="メイリオ"/>
              <a:ea typeface="メイリオ"/>
            </a:rPr>
            <a:t>①該当する項目はすべて取り組むことになりますので、「申請時（します）」欄にチェックを記入。</a:t>
          </a:r>
          <a:endParaRPr kumimoji="1" lang="en-US" altLang="ja-JP" sz="1600" b="1" u="none">
            <a:solidFill>
              <a:schemeClr val="bg1"/>
            </a:solidFill>
            <a:latin typeface="メイリオ"/>
            <a:ea typeface="メイリオ"/>
          </a:endParaRPr>
        </a:p>
      </xdr:txBody>
    </xdr:sp>
    <xdr:clientData/>
  </xdr:twoCellAnchor>
  <xdr:twoCellAnchor>
    <xdr:from>
      <xdr:col>4</xdr:col>
      <xdr:colOff>700588</xdr:colOff>
      <xdr:row>13</xdr:row>
      <xdr:rowOff>42723</xdr:rowOff>
    </xdr:from>
    <xdr:to>
      <xdr:col>7</xdr:col>
      <xdr:colOff>666749</xdr:colOff>
      <xdr:row>20</xdr:row>
      <xdr:rowOff>35719</xdr:rowOff>
    </xdr:to>
    <xdr:sp macro="" textlink="">
      <xdr:nvSpPr>
        <xdr:cNvPr id="3" name="図形 6">
          <a:extLst>
            <a:ext uri="{FF2B5EF4-FFF2-40B4-BE49-F238E27FC236}">
              <a16:creationId xmlns:a16="http://schemas.microsoft.com/office/drawing/2014/main" id="{00000000-0008-0000-0C00-000006000000}"/>
            </a:ext>
          </a:extLst>
        </xdr:cNvPr>
        <xdr:cNvSpPr/>
      </xdr:nvSpPr>
      <xdr:spPr>
        <a:xfrm>
          <a:off x="2081713" y="3650317"/>
          <a:ext cx="3133224" cy="2064683"/>
        </a:xfrm>
        <a:prstGeom prst="wedgeRoundRectCallout">
          <a:avLst>
            <a:gd name="adj1" fmla="val 67455"/>
            <a:gd name="adj2" fmla="val -43787"/>
            <a:gd name="adj3" fmla="val 16667"/>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anchor="ctr"/>
        <a:lstStyle/>
        <a:p>
          <a:r>
            <a:rPr kumimoji="1" lang="ja-JP" altLang="en-US" sz="1600" b="1">
              <a:solidFill>
                <a:schemeClr val="bg1"/>
              </a:solidFill>
              <a:latin typeface="メイリオ"/>
              <a:ea typeface="メイリオ"/>
            </a:rPr>
            <a:t>②その項目に該当せず、取り組むことができない場合は、「該当しない」欄にチェックを入れる。</a:t>
          </a:r>
        </a:p>
      </xdr:txBody>
    </xdr:sp>
    <xdr:clientData/>
  </xdr:twoCellAnchor>
  <xdr:twoCellAnchor>
    <xdr:from>
      <xdr:col>2</xdr:col>
      <xdr:colOff>157967</xdr:colOff>
      <xdr:row>8</xdr:row>
      <xdr:rowOff>340541</xdr:rowOff>
    </xdr:from>
    <xdr:to>
      <xdr:col>4</xdr:col>
      <xdr:colOff>90715</xdr:colOff>
      <xdr:row>10</xdr:row>
      <xdr:rowOff>269998</xdr:rowOff>
    </xdr:to>
    <xdr:sp macro="" textlink="">
      <xdr:nvSpPr>
        <xdr:cNvPr id="4" name="楕円 7">
          <a:extLst>
            <a:ext uri="{FF2B5EF4-FFF2-40B4-BE49-F238E27FC236}">
              <a16:creationId xmlns:a16="http://schemas.microsoft.com/office/drawing/2014/main" id="{00000000-0008-0000-0C00-000007000000}"/>
            </a:ext>
          </a:extLst>
        </xdr:cNvPr>
        <xdr:cNvSpPr/>
      </xdr:nvSpPr>
      <xdr:spPr>
        <a:xfrm>
          <a:off x="558017" y="2359841"/>
          <a:ext cx="904298" cy="567632"/>
        </a:xfrm>
        <a:prstGeom prst="ellipse">
          <a:avLst/>
        </a:prstGeom>
        <a:noFill/>
        <a:ln w="63500" cap="flat" cmpd="sng" algn="ctr">
          <a:solidFill>
            <a:srgbClr val="0070C0"/>
          </a:solidFill>
          <a:prstDash val="solid"/>
          <a:miter lim="800000"/>
        </a:ln>
      </xdr:spPr>
      <xdr:style>
        <a:lnRef idx="2">
          <a:schemeClr val="accent2"/>
        </a:lnRef>
        <a:fillRef idx="1">
          <a:schemeClr val="lt1"/>
        </a:fillRef>
        <a:effectRef idx="0">
          <a:schemeClr val="accent2"/>
        </a:effectRef>
        <a:fontRef idx="minor">
          <a:schemeClr val="dk1"/>
        </a:fontRef>
      </xdr:style>
      <xdr:txBody>
        <a:bodyPr vertOverflow="clip" horzOverflow="clip"/>
        <a:lstStyle/>
        <a:p>
          <a:endParaRPr kumimoji="1" lang="ja-JP" altLang="en-US"/>
        </a:p>
      </xdr:txBody>
    </xdr:sp>
    <xdr:clientData/>
  </xdr:twoCellAnchor>
  <xdr:twoCellAnchor>
    <xdr:from>
      <xdr:col>8</xdr:col>
      <xdr:colOff>51955</xdr:colOff>
      <xdr:row>11</xdr:row>
      <xdr:rowOff>303067</xdr:rowOff>
    </xdr:from>
    <xdr:to>
      <xdr:col>9</xdr:col>
      <xdr:colOff>9319</xdr:colOff>
      <xdr:row>13</xdr:row>
      <xdr:rowOff>93351</xdr:rowOff>
    </xdr:to>
    <xdr:sp macro="" textlink="">
      <xdr:nvSpPr>
        <xdr:cNvPr id="5" name="楕円 4">
          <a:extLst>
            <a:ext uri="{FF2B5EF4-FFF2-40B4-BE49-F238E27FC236}">
              <a16:creationId xmlns:a16="http://schemas.microsoft.com/office/drawing/2014/main" id="{00000000-0008-0000-0C00-000008000000}"/>
            </a:ext>
          </a:extLst>
        </xdr:cNvPr>
        <xdr:cNvSpPr/>
      </xdr:nvSpPr>
      <xdr:spPr>
        <a:xfrm>
          <a:off x="5824105" y="3246292"/>
          <a:ext cx="528864" cy="428459"/>
        </a:xfrm>
        <a:prstGeom prst="ellipse">
          <a:avLst/>
        </a:prstGeom>
        <a:noFill/>
        <a:ln w="63500" cap="flat" cmpd="sng" algn="ctr">
          <a:solidFill>
            <a:srgbClr val="0070C0"/>
          </a:solidFill>
          <a:prstDash val="solid"/>
          <a:miter lim="800000"/>
        </a:ln>
      </xdr:spPr>
      <xdr:style>
        <a:lnRef idx="2">
          <a:schemeClr val="accent2"/>
        </a:lnRef>
        <a:fillRef idx="1">
          <a:schemeClr val="lt1"/>
        </a:fillRef>
        <a:effectRef idx="0">
          <a:schemeClr val="accent2"/>
        </a:effectRef>
        <a:fontRef idx="minor">
          <a:schemeClr val="dk1"/>
        </a:fontRef>
      </xdr:style>
      <xdr:txBody>
        <a:bodyPr vertOverflow="clip" horzOverflow="clip"/>
        <a:lstStyle/>
        <a:p>
          <a:endParaRPr kumimoji="1" lang="ja-JP" altLang="en-US"/>
        </a:p>
      </xdr:txBody>
    </xdr:sp>
    <xdr:clientData/>
  </xdr:twoCellAnchor>
  <xdr:twoCellAnchor>
    <xdr:from>
      <xdr:col>12</xdr:col>
      <xdr:colOff>59531</xdr:colOff>
      <xdr:row>2</xdr:row>
      <xdr:rowOff>142873</xdr:rowOff>
    </xdr:from>
    <xdr:to>
      <xdr:col>16</xdr:col>
      <xdr:colOff>1000126</xdr:colOff>
      <xdr:row>3</xdr:row>
      <xdr:rowOff>174624</xdr:rowOff>
    </xdr:to>
    <xdr:sp macro="" textlink="">
      <xdr:nvSpPr>
        <xdr:cNvPr id="6" name="吹き出し: 角を丸めた四角形 1">
          <a:extLst>
            <a:ext uri="{FF2B5EF4-FFF2-40B4-BE49-F238E27FC236}">
              <a16:creationId xmlns:a16="http://schemas.microsoft.com/office/drawing/2014/main" id="{F1A4BE3A-97FE-4457-A940-FA07D813CD67}"/>
            </a:ext>
          </a:extLst>
        </xdr:cNvPr>
        <xdr:cNvSpPr/>
      </xdr:nvSpPr>
      <xdr:spPr>
        <a:xfrm>
          <a:off x="7603331" y="533398"/>
          <a:ext cx="3559970" cy="412751"/>
        </a:xfrm>
        <a:prstGeom prst="wedgeRoundRectCallout">
          <a:avLst>
            <a:gd name="adj1" fmla="val 61310"/>
            <a:gd name="adj2" fmla="val -35119"/>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1400"/>
            <a:t>申請時記入日と協定名を記入</a:t>
          </a:r>
          <a:endParaRPr kumimoji="1" lang="en-US" altLang="ja-JP" sz="1400"/>
        </a:p>
      </xdr:txBody>
    </xdr:sp>
    <xdr:clientData/>
  </xdr:twoCellAnchor>
  <xdr:twoCellAnchor>
    <xdr:from>
      <xdr:col>16</xdr:col>
      <xdr:colOff>1318284</xdr:colOff>
      <xdr:row>1</xdr:row>
      <xdr:rowOff>191171</xdr:rowOff>
    </xdr:from>
    <xdr:to>
      <xdr:col>22</xdr:col>
      <xdr:colOff>714373</xdr:colOff>
      <xdr:row>2</xdr:row>
      <xdr:rowOff>357188</xdr:rowOff>
    </xdr:to>
    <xdr:sp macro="" textlink="">
      <xdr:nvSpPr>
        <xdr:cNvPr id="7" name="楕円 7">
          <a:extLst>
            <a:ext uri="{FF2B5EF4-FFF2-40B4-BE49-F238E27FC236}">
              <a16:creationId xmlns:a16="http://schemas.microsoft.com/office/drawing/2014/main" id="{00000000-0008-0000-0C00-000007000000}"/>
            </a:ext>
          </a:extLst>
        </xdr:cNvPr>
        <xdr:cNvSpPr/>
      </xdr:nvSpPr>
      <xdr:spPr>
        <a:xfrm>
          <a:off x="11481459" y="324521"/>
          <a:ext cx="3177514" cy="423192"/>
        </a:xfrm>
        <a:prstGeom prst="ellipse">
          <a:avLst/>
        </a:prstGeom>
        <a:noFill/>
        <a:ln w="63500" cap="flat" cmpd="sng" algn="ctr">
          <a:solidFill>
            <a:srgbClr val="0070C0"/>
          </a:solidFill>
          <a:prstDash val="solid"/>
          <a:miter lim="800000"/>
        </a:ln>
      </xdr:spPr>
      <xdr:style>
        <a:lnRef idx="2">
          <a:schemeClr val="accent2"/>
        </a:lnRef>
        <a:fillRef idx="1">
          <a:schemeClr val="lt1"/>
        </a:fillRef>
        <a:effectRef idx="0">
          <a:schemeClr val="accent2"/>
        </a:effectRef>
        <a:fontRef idx="minor">
          <a:schemeClr val="dk1"/>
        </a:fontRef>
      </xdr:style>
      <xdr:txBody>
        <a:bodyPr vertOverflow="clip" horzOverflow="clip"/>
        <a:lstStyle/>
        <a:p>
          <a:endParaRPr kumimoji="1" lang="ja-JP" altLang="en-US"/>
        </a:p>
      </xdr:txBody>
    </xdr:sp>
    <xdr:clientData/>
  </xdr:twoCellAnchor>
  <xdr:twoCellAnchor>
    <xdr:from>
      <xdr:col>16</xdr:col>
      <xdr:colOff>1292091</xdr:colOff>
      <xdr:row>3</xdr:row>
      <xdr:rowOff>355477</xdr:rowOff>
    </xdr:from>
    <xdr:to>
      <xdr:col>18</xdr:col>
      <xdr:colOff>700963</xdr:colOff>
      <xdr:row>5</xdr:row>
      <xdr:rowOff>35718</xdr:rowOff>
    </xdr:to>
    <xdr:sp macro="" textlink="">
      <xdr:nvSpPr>
        <xdr:cNvPr id="8" name="楕円 7">
          <a:extLst>
            <a:ext uri="{FF2B5EF4-FFF2-40B4-BE49-F238E27FC236}">
              <a16:creationId xmlns:a16="http://schemas.microsoft.com/office/drawing/2014/main" id="{00000000-0008-0000-0C00-000007000000}"/>
            </a:ext>
          </a:extLst>
        </xdr:cNvPr>
        <xdr:cNvSpPr/>
      </xdr:nvSpPr>
      <xdr:spPr>
        <a:xfrm>
          <a:off x="11455266" y="1127002"/>
          <a:ext cx="904297" cy="318416"/>
        </a:xfrm>
        <a:prstGeom prst="ellipse">
          <a:avLst/>
        </a:prstGeom>
        <a:noFill/>
        <a:ln w="63500" cap="flat" cmpd="sng" algn="ctr">
          <a:solidFill>
            <a:srgbClr val="0070C0"/>
          </a:solidFill>
          <a:prstDash val="solid"/>
          <a:miter lim="800000"/>
        </a:ln>
      </xdr:spPr>
      <xdr:style>
        <a:lnRef idx="2">
          <a:schemeClr val="accent2"/>
        </a:lnRef>
        <a:fillRef idx="1">
          <a:schemeClr val="lt1"/>
        </a:fillRef>
        <a:effectRef idx="0">
          <a:schemeClr val="accent2"/>
        </a:effectRef>
        <a:fontRef idx="minor">
          <a:schemeClr val="dk1"/>
        </a:fontRef>
      </xdr:style>
      <xdr:txBody>
        <a:bodyPr vertOverflow="clip" horzOverflow="clip"/>
        <a:lstStyle/>
        <a:p>
          <a:endParaRPr kumimoji="1"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361950</xdr:colOff>
      <xdr:row>2</xdr:row>
      <xdr:rowOff>76199</xdr:rowOff>
    </xdr:from>
    <xdr:to>
      <xdr:col>10</xdr:col>
      <xdr:colOff>552450</xdr:colOff>
      <xdr:row>5</xdr:row>
      <xdr:rowOff>285750</xdr:rowOff>
    </xdr:to>
    <xdr:sp macro="" textlink="">
      <xdr:nvSpPr>
        <xdr:cNvPr id="2" name="吹き出し: 角を丸めた四角形 1">
          <a:extLst>
            <a:ext uri="{FF2B5EF4-FFF2-40B4-BE49-F238E27FC236}">
              <a16:creationId xmlns:a16="http://schemas.microsoft.com/office/drawing/2014/main" id="{00000000-0008-0000-0D00-000002000000}"/>
            </a:ext>
          </a:extLst>
        </xdr:cNvPr>
        <xdr:cNvSpPr/>
      </xdr:nvSpPr>
      <xdr:spPr>
        <a:xfrm>
          <a:off x="2552700" y="609599"/>
          <a:ext cx="2676525" cy="990601"/>
        </a:xfrm>
        <a:prstGeom prst="wedgeRoundRectCallout">
          <a:avLst>
            <a:gd name="adj1" fmla="val -83643"/>
            <a:gd name="adj2" fmla="val 3359"/>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自身の協定名を記入。</a:t>
          </a:r>
          <a:endParaRPr kumimoji="1" lang="en-US" altLang="ja-JP" sz="1400"/>
        </a:p>
        <a:p>
          <a:pPr algn="l"/>
          <a:r>
            <a:rPr kumimoji="1" lang="en-US" altLang="ja-JP" sz="1400"/>
            <a:t>※</a:t>
          </a:r>
          <a:r>
            <a:rPr kumimoji="1" lang="ja-JP" altLang="en-US" sz="1400"/>
            <a:t>パソコンで作成する場合は、自動入力されます。</a:t>
          </a:r>
          <a:endParaRPr kumimoji="1" lang="en-US" altLang="ja-JP" sz="1400"/>
        </a:p>
      </xdr:txBody>
    </xdr:sp>
    <xdr:clientData/>
  </xdr:twoCellAnchor>
  <xdr:twoCellAnchor>
    <xdr:from>
      <xdr:col>7</xdr:col>
      <xdr:colOff>85725</xdr:colOff>
      <xdr:row>8</xdr:row>
      <xdr:rowOff>47624</xdr:rowOff>
    </xdr:from>
    <xdr:to>
      <xdr:col>11</xdr:col>
      <xdr:colOff>66675</xdr:colOff>
      <xdr:row>11</xdr:row>
      <xdr:rowOff>123825</xdr:rowOff>
    </xdr:to>
    <xdr:sp macro="" textlink="">
      <xdr:nvSpPr>
        <xdr:cNvPr id="3" name="吹き出し: 角を丸めた四角形 1">
          <a:extLst>
            <a:ext uri="{FF2B5EF4-FFF2-40B4-BE49-F238E27FC236}">
              <a16:creationId xmlns:a16="http://schemas.microsoft.com/office/drawing/2014/main" id="{00000000-0008-0000-0D00-000003000000}"/>
            </a:ext>
          </a:extLst>
        </xdr:cNvPr>
        <xdr:cNvSpPr/>
      </xdr:nvSpPr>
      <xdr:spPr>
        <a:xfrm>
          <a:off x="3667125" y="2285999"/>
          <a:ext cx="1685925" cy="990601"/>
        </a:xfrm>
        <a:prstGeom prst="wedgeRoundRectCallout">
          <a:avLst>
            <a:gd name="adj1" fmla="val -65849"/>
            <a:gd name="adj2" fmla="val -38949"/>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作成年月を記入。</a:t>
          </a:r>
          <a:endParaRPr kumimoji="1" lang="en-US" altLang="ja-JP" sz="1400"/>
        </a:p>
      </xdr:txBody>
    </xdr:sp>
    <xdr:clientData/>
  </xdr:twoCellAnchor>
  <xdr:twoCellAnchor>
    <xdr:from>
      <xdr:col>7</xdr:col>
      <xdr:colOff>238124</xdr:colOff>
      <xdr:row>12</xdr:row>
      <xdr:rowOff>990600</xdr:rowOff>
    </xdr:from>
    <xdr:to>
      <xdr:col>13</xdr:col>
      <xdr:colOff>419099</xdr:colOff>
      <xdr:row>14</xdr:row>
      <xdr:rowOff>200025</xdr:rowOff>
    </xdr:to>
    <xdr:sp macro="" textlink="">
      <xdr:nvSpPr>
        <xdr:cNvPr id="4" name="吹き出し: 角を丸めた四角形 1">
          <a:extLst>
            <a:ext uri="{FF2B5EF4-FFF2-40B4-BE49-F238E27FC236}">
              <a16:creationId xmlns:a16="http://schemas.microsoft.com/office/drawing/2014/main" id="{00000000-0008-0000-0D00-000004000000}"/>
            </a:ext>
          </a:extLst>
        </xdr:cNvPr>
        <xdr:cNvSpPr/>
      </xdr:nvSpPr>
      <xdr:spPr>
        <a:xfrm>
          <a:off x="3819524" y="4448175"/>
          <a:ext cx="3609975" cy="657225"/>
        </a:xfrm>
        <a:prstGeom prst="wedgeRoundRectCallout">
          <a:avLst>
            <a:gd name="adj1" fmla="val -73604"/>
            <a:gd name="adj2" fmla="val 41835"/>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①②③の中から、該当するものを選択。</a:t>
          </a:r>
          <a:endParaRPr kumimoji="1" lang="en-US" altLang="ja-JP" sz="1400"/>
        </a:p>
      </xdr:txBody>
    </xdr:sp>
    <xdr:clientData/>
  </xdr:twoCellAnchor>
  <xdr:twoCellAnchor>
    <xdr:from>
      <xdr:col>12</xdr:col>
      <xdr:colOff>390525</xdr:colOff>
      <xdr:row>16</xdr:row>
      <xdr:rowOff>171450</xdr:rowOff>
    </xdr:from>
    <xdr:to>
      <xdr:col>14</xdr:col>
      <xdr:colOff>47625</xdr:colOff>
      <xdr:row>20</xdr:row>
      <xdr:rowOff>809625</xdr:rowOff>
    </xdr:to>
    <xdr:sp macro="" textlink="">
      <xdr:nvSpPr>
        <xdr:cNvPr id="5" name="吹き出し: 角を丸めた四角形 1">
          <a:extLst>
            <a:ext uri="{FF2B5EF4-FFF2-40B4-BE49-F238E27FC236}">
              <a16:creationId xmlns:a16="http://schemas.microsoft.com/office/drawing/2014/main" id="{00000000-0008-0000-0D00-000005000000}"/>
            </a:ext>
          </a:extLst>
        </xdr:cNvPr>
        <xdr:cNvSpPr/>
      </xdr:nvSpPr>
      <xdr:spPr>
        <a:xfrm>
          <a:off x="6838950" y="5667375"/>
          <a:ext cx="1152525" cy="3657600"/>
        </a:xfrm>
        <a:prstGeom prst="wedgeRoundRectCallout">
          <a:avLst>
            <a:gd name="adj1" fmla="val -53298"/>
            <a:gd name="adj2" fmla="val -56864"/>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vert="eaVert" rtlCol="0" anchor="ctr"/>
        <a:lstStyle/>
        <a:p>
          <a:pPr algn="l"/>
          <a:r>
            <a:rPr kumimoji="1" lang="ja-JP" altLang="en-US" sz="1400"/>
            <a:t>①②③それぞれで記載項目が違います。</a:t>
          </a:r>
          <a:endParaRPr kumimoji="1" lang="en-US" altLang="ja-JP" sz="1400"/>
        </a:p>
        <a:p>
          <a:pPr algn="l"/>
          <a:r>
            <a:rPr kumimoji="1" lang="ja-JP" altLang="en-US" sz="1400"/>
            <a:t>よく確認し、該当の項目を埋めてください。</a:t>
          </a:r>
          <a:endParaRPr kumimoji="1" lang="en-US" altLang="ja-JP" sz="1400"/>
        </a:p>
      </xdr:txBody>
    </xdr:sp>
    <xdr:clientData/>
  </xdr:twoCellAnchor>
  <xdr:twoCellAnchor>
    <xdr:from>
      <xdr:col>13</xdr:col>
      <xdr:colOff>85725</xdr:colOff>
      <xdr:row>21</xdr:row>
      <xdr:rowOff>76200</xdr:rowOff>
    </xdr:from>
    <xdr:to>
      <xdr:col>14</xdr:col>
      <xdr:colOff>114300</xdr:colOff>
      <xdr:row>22</xdr:row>
      <xdr:rowOff>76200</xdr:rowOff>
    </xdr:to>
    <xdr:sp macro="" textlink="">
      <xdr:nvSpPr>
        <xdr:cNvPr id="7" name="吹き出し: 角を丸めた四角形 1">
          <a:extLst>
            <a:ext uri="{FF2B5EF4-FFF2-40B4-BE49-F238E27FC236}">
              <a16:creationId xmlns:a16="http://schemas.microsoft.com/office/drawing/2014/main" id="{00000000-0008-0000-0D00-000007000000}"/>
            </a:ext>
          </a:extLst>
        </xdr:cNvPr>
        <xdr:cNvSpPr/>
      </xdr:nvSpPr>
      <xdr:spPr>
        <a:xfrm>
          <a:off x="7096125" y="9458325"/>
          <a:ext cx="962025" cy="3657600"/>
        </a:xfrm>
        <a:prstGeom prst="wedgeRoundRectCallout">
          <a:avLst>
            <a:gd name="adj1" fmla="val -67159"/>
            <a:gd name="adj2" fmla="val -33427"/>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vert="eaVert" rtlCol="0" anchor="ctr"/>
        <a:lstStyle/>
        <a:p>
          <a:pPr algn="ctr"/>
          <a:r>
            <a:rPr kumimoji="1" lang="ja-JP" altLang="en-US" sz="1400"/>
            <a:t>よく読んでおいてください。</a:t>
          </a:r>
          <a:endParaRPr kumimoji="1" lang="en-US" altLang="ja-JP" sz="1400"/>
        </a:p>
      </xdr:txBody>
    </xdr:sp>
    <xdr:clientData/>
  </xdr:twoCellAnchor>
  <xdr:twoCellAnchor>
    <xdr:from>
      <xdr:col>11</xdr:col>
      <xdr:colOff>923926</xdr:colOff>
      <xdr:row>0</xdr:row>
      <xdr:rowOff>104773</xdr:rowOff>
    </xdr:from>
    <xdr:to>
      <xdr:col>13</xdr:col>
      <xdr:colOff>800101</xdr:colOff>
      <xdr:row>4</xdr:row>
      <xdr:rowOff>76199</xdr:rowOff>
    </xdr:to>
    <xdr:sp macro="" textlink="">
      <xdr:nvSpPr>
        <xdr:cNvPr id="8" name="吹き出し: 角を丸めた四角形 1">
          <a:extLst>
            <a:ext uri="{FF2B5EF4-FFF2-40B4-BE49-F238E27FC236}">
              <a16:creationId xmlns:a16="http://schemas.microsoft.com/office/drawing/2014/main" id="{00000000-0008-0000-0D00-000002000000}"/>
            </a:ext>
          </a:extLst>
        </xdr:cNvPr>
        <xdr:cNvSpPr/>
      </xdr:nvSpPr>
      <xdr:spPr>
        <a:xfrm>
          <a:off x="6210301" y="104773"/>
          <a:ext cx="1600200" cy="1028701"/>
        </a:xfrm>
        <a:prstGeom prst="wedgeRoundRectCallout">
          <a:avLst>
            <a:gd name="adj1" fmla="val -62787"/>
            <a:gd name="adj2" fmla="val -22829"/>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a:t>★ネットワーク化活動計画の表紙です。</a:t>
          </a:r>
          <a:endParaRPr kumimoji="1" lang="en-US" altLang="ja-JP"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487680</xdr:colOff>
      <xdr:row>2</xdr:row>
      <xdr:rowOff>297180</xdr:rowOff>
    </xdr:from>
    <xdr:to>
      <xdr:col>12</xdr:col>
      <xdr:colOff>106680</xdr:colOff>
      <xdr:row>6</xdr:row>
      <xdr:rowOff>114300</xdr:rowOff>
    </xdr:to>
    <xdr:sp macro="" textlink="">
      <xdr:nvSpPr>
        <xdr:cNvPr id="2" name="吹き出し: 角を丸めた四角形 1">
          <a:extLst>
            <a:ext uri="{FF2B5EF4-FFF2-40B4-BE49-F238E27FC236}">
              <a16:creationId xmlns:a16="http://schemas.microsoft.com/office/drawing/2014/main" id="{00000000-0008-0000-0E00-000002000000}"/>
            </a:ext>
          </a:extLst>
        </xdr:cNvPr>
        <xdr:cNvSpPr/>
      </xdr:nvSpPr>
      <xdr:spPr>
        <a:xfrm>
          <a:off x="3352800" y="777240"/>
          <a:ext cx="4495800" cy="1562100"/>
        </a:xfrm>
        <a:prstGeom prst="wedgeRoundRectCallout">
          <a:avLst>
            <a:gd name="adj1" fmla="val -63570"/>
            <a:gd name="adj2" fmla="val 29152"/>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形成したネットワークに「名前」をつけてください。</a:t>
          </a:r>
          <a:endParaRPr kumimoji="1" lang="en-US" altLang="ja-JP" sz="1400"/>
        </a:p>
        <a:p>
          <a:pPr algn="l"/>
          <a:r>
            <a:rPr kumimoji="1" lang="ja-JP" altLang="en-US" sz="1400"/>
            <a:t>例</a:t>
          </a:r>
          <a:r>
            <a:rPr kumimoji="1" lang="en-US" altLang="ja-JP" sz="1400"/>
            <a:t>1</a:t>
          </a:r>
          <a:r>
            <a:rPr kumimoji="1" lang="ja-JP" altLang="en-US" sz="1400"/>
            <a:t>）○○ネットワーク</a:t>
          </a:r>
          <a:endParaRPr kumimoji="1" lang="en-US" altLang="ja-JP" sz="1400"/>
        </a:p>
        <a:p>
          <a:pPr algn="l"/>
          <a:r>
            <a:rPr kumimoji="1" lang="ja-JP" altLang="en-US" sz="1400"/>
            <a:t>例</a:t>
          </a:r>
          <a:r>
            <a:rPr kumimoji="1" lang="en-US" altLang="ja-JP" sz="1400"/>
            <a:t>2</a:t>
          </a:r>
          <a:r>
            <a:rPr kumimoji="1" lang="ja-JP" altLang="en-US" sz="1400"/>
            <a:t>）</a:t>
          </a:r>
          <a:r>
            <a:rPr kumimoji="1" lang="en-US" altLang="ja-JP" sz="1400"/>
            <a:t>××</a:t>
          </a:r>
          <a:r>
            <a:rPr kumimoji="1" lang="ja-JP" altLang="en-US" sz="1400"/>
            <a:t>地域中山間ネットワーク</a:t>
          </a:r>
          <a:endParaRPr kumimoji="1" lang="en-US" altLang="ja-JP" sz="1400"/>
        </a:p>
        <a:p>
          <a:pPr algn="l"/>
          <a:r>
            <a:rPr kumimoji="1" lang="ja-JP" altLang="en-US" sz="1400"/>
            <a:t>例</a:t>
          </a:r>
          <a:r>
            <a:rPr kumimoji="1" lang="en-US" altLang="ja-JP" sz="1400"/>
            <a:t>3</a:t>
          </a:r>
          <a:r>
            <a:rPr kumimoji="1" lang="ja-JP" altLang="en-US" sz="1400"/>
            <a:t>）中山間＊＊ネットワークの会</a:t>
          </a:r>
          <a:endParaRPr kumimoji="1" lang="en-US" altLang="ja-JP" sz="1400"/>
        </a:p>
      </xdr:txBody>
    </xdr:sp>
    <xdr:clientData/>
  </xdr:twoCellAnchor>
  <xdr:twoCellAnchor>
    <xdr:from>
      <xdr:col>2</xdr:col>
      <xdr:colOff>22860</xdr:colOff>
      <xdr:row>11</xdr:row>
      <xdr:rowOff>76200</xdr:rowOff>
    </xdr:from>
    <xdr:to>
      <xdr:col>3</xdr:col>
      <xdr:colOff>495300</xdr:colOff>
      <xdr:row>14</xdr:row>
      <xdr:rowOff>243840</xdr:rowOff>
    </xdr:to>
    <xdr:sp macro="" textlink="">
      <xdr:nvSpPr>
        <xdr:cNvPr id="3" name="吹き出し: 角を丸めた四角形 1">
          <a:extLst>
            <a:ext uri="{FF2B5EF4-FFF2-40B4-BE49-F238E27FC236}">
              <a16:creationId xmlns:a16="http://schemas.microsoft.com/office/drawing/2014/main" id="{00000000-0008-0000-0E00-000003000000}"/>
            </a:ext>
          </a:extLst>
        </xdr:cNvPr>
        <xdr:cNvSpPr/>
      </xdr:nvSpPr>
      <xdr:spPr>
        <a:xfrm>
          <a:off x="899160" y="4084320"/>
          <a:ext cx="1203960" cy="1082040"/>
        </a:xfrm>
        <a:prstGeom prst="wedgeRoundRectCallout">
          <a:avLst>
            <a:gd name="adj1" fmla="val -59203"/>
            <a:gd name="adj2" fmla="val -43674"/>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ネットワークを形成する協定名を記入。</a:t>
          </a:r>
          <a:endParaRPr kumimoji="1" lang="en-US" altLang="ja-JP" sz="1200"/>
        </a:p>
      </xdr:txBody>
    </xdr:sp>
    <xdr:clientData/>
  </xdr:twoCellAnchor>
  <xdr:twoCellAnchor>
    <xdr:from>
      <xdr:col>4</xdr:col>
      <xdr:colOff>7620</xdr:colOff>
      <xdr:row>10</xdr:row>
      <xdr:rowOff>167640</xdr:rowOff>
    </xdr:from>
    <xdr:to>
      <xdr:col>5</xdr:col>
      <xdr:colOff>579120</xdr:colOff>
      <xdr:row>14</xdr:row>
      <xdr:rowOff>30480</xdr:rowOff>
    </xdr:to>
    <xdr:sp macro="" textlink="">
      <xdr:nvSpPr>
        <xdr:cNvPr id="4" name="吹き出し: 角を丸めた四角形 1">
          <a:extLst>
            <a:ext uri="{FF2B5EF4-FFF2-40B4-BE49-F238E27FC236}">
              <a16:creationId xmlns:a16="http://schemas.microsoft.com/office/drawing/2014/main" id="{00000000-0008-0000-0E00-000004000000}"/>
            </a:ext>
          </a:extLst>
        </xdr:cNvPr>
        <xdr:cNvSpPr/>
      </xdr:nvSpPr>
      <xdr:spPr>
        <a:xfrm>
          <a:off x="2186940" y="3870960"/>
          <a:ext cx="1257300" cy="1082040"/>
        </a:xfrm>
        <a:prstGeom prst="wedgeRoundRectCallout">
          <a:avLst>
            <a:gd name="adj1" fmla="val 56191"/>
            <a:gd name="adj2" fmla="val 1780"/>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それぞれの協定農用地面積</a:t>
          </a:r>
          <a:r>
            <a:rPr kumimoji="1" lang="en-US" altLang="ja-JP" sz="1200"/>
            <a:t>(ha)</a:t>
          </a:r>
          <a:r>
            <a:rPr kumimoji="1" lang="ja-JP" altLang="en-US" sz="1200"/>
            <a:t>を記入。</a:t>
          </a:r>
          <a:endParaRPr kumimoji="1" lang="en-US" altLang="ja-JP" sz="1200"/>
        </a:p>
      </xdr:txBody>
    </xdr:sp>
    <xdr:clientData/>
  </xdr:twoCellAnchor>
  <xdr:twoCellAnchor>
    <xdr:from>
      <xdr:col>8</xdr:col>
      <xdr:colOff>213360</xdr:colOff>
      <xdr:row>11</xdr:row>
      <xdr:rowOff>152400</xdr:rowOff>
    </xdr:from>
    <xdr:to>
      <xdr:col>10</xdr:col>
      <xdr:colOff>655320</xdr:colOff>
      <xdr:row>15</xdr:row>
      <xdr:rowOff>83820</xdr:rowOff>
    </xdr:to>
    <xdr:sp macro="" textlink="">
      <xdr:nvSpPr>
        <xdr:cNvPr id="5" name="吹き出し: 角を丸めた四角形 1">
          <a:extLst>
            <a:ext uri="{FF2B5EF4-FFF2-40B4-BE49-F238E27FC236}">
              <a16:creationId xmlns:a16="http://schemas.microsoft.com/office/drawing/2014/main" id="{00000000-0008-0000-0E00-000005000000}"/>
            </a:ext>
          </a:extLst>
        </xdr:cNvPr>
        <xdr:cNvSpPr/>
      </xdr:nvSpPr>
      <xdr:spPr>
        <a:xfrm>
          <a:off x="5029200" y="4160520"/>
          <a:ext cx="1905000" cy="1150620"/>
        </a:xfrm>
        <a:prstGeom prst="wedgeRoundRectCallout">
          <a:avLst>
            <a:gd name="adj1" fmla="val -37118"/>
            <a:gd name="adj2" fmla="val -68117"/>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それぞれの協定が位置する地域計画の区域を記入。</a:t>
          </a:r>
          <a:endParaRPr kumimoji="1" lang="en-US" altLang="ja-JP" sz="1200"/>
        </a:p>
        <a:p>
          <a:pPr algn="l"/>
          <a:r>
            <a:rPr kumimoji="1" lang="en-US" altLang="ja-JP" sz="1200"/>
            <a:t>※</a:t>
          </a:r>
          <a:r>
            <a:rPr kumimoji="1" lang="ja-JP" altLang="en-US" sz="1200"/>
            <a:t>別紙参照</a:t>
          </a:r>
          <a:endParaRPr kumimoji="1" lang="en-US" altLang="ja-JP" sz="1200"/>
        </a:p>
      </xdr:txBody>
    </xdr:sp>
    <xdr:clientData/>
  </xdr:twoCellAnchor>
  <xdr:twoCellAnchor>
    <xdr:from>
      <xdr:col>11</xdr:col>
      <xdr:colOff>312420</xdr:colOff>
      <xdr:row>13</xdr:row>
      <xdr:rowOff>251460</xdr:rowOff>
    </xdr:from>
    <xdr:to>
      <xdr:col>14</xdr:col>
      <xdr:colOff>38100</xdr:colOff>
      <xdr:row>19</xdr:row>
      <xdr:rowOff>182880</xdr:rowOff>
    </xdr:to>
    <xdr:sp macro="" textlink="">
      <xdr:nvSpPr>
        <xdr:cNvPr id="6" name="吹き出し: 角を丸めた四角形 1">
          <a:extLst>
            <a:ext uri="{FF2B5EF4-FFF2-40B4-BE49-F238E27FC236}">
              <a16:creationId xmlns:a16="http://schemas.microsoft.com/office/drawing/2014/main" id="{00000000-0008-0000-0E00-000006000000}"/>
            </a:ext>
          </a:extLst>
        </xdr:cNvPr>
        <xdr:cNvSpPr/>
      </xdr:nvSpPr>
      <xdr:spPr>
        <a:xfrm>
          <a:off x="7322820" y="4869180"/>
          <a:ext cx="1920240" cy="1729740"/>
        </a:xfrm>
        <a:prstGeom prst="wedgeRoundRectCallout">
          <a:avLst>
            <a:gd name="adj1" fmla="val -25918"/>
            <a:gd name="adj2" fmla="val -66130"/>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・計画策定時点ですでにネットワークを形成している場合→「連携済」に〇</a:t>
          </a:r>
          <a:endParaRPr kumimoji="1" lang="en-US" altLang="ja-JP" sz="1200"/>
        </a:p>
        <a:p>
          <a:pPr algn="l"/>
          <a:r>
            <a:rPr kumimoji="1" lang="ja-JP" altLang="en-US" sz="1200"/>
            <a:t>・今後形成する場合→「今後連携」に〇</a:t>
          </a:r>
          <a:endParaRPr kumimoji="1" lang="en-US" altLang="ja-JP" sz="1200"/>
        </a:p>
      </xdr:txBody>
    </xdr:sp>
    <xdr:clientData/>
  </xdr:twoCellAnchor>
  <xdr:twoCellAnchor>
    <xdr:from>
      <xdr:col>6</xdr:col>
      <xdr:colOff>220980</xdr:colOff>
      <xdr:row>23</xdr:row>
      <xdr:rowOff>1127760</xdr:rowOff>
    </xdr:from>
    <xdr:to>
      <xdr:col>10</xdr:col>
      <xdr:colOff>708660</xdr:colOff>
      <xdr:row>26</xdr:row>
      <xdr:rowOff>152400</xdr:rowOff>
    </xdr:to>
    <xdr:sp macro="" textlink="">
      <xdr:nvSpPr>
        <xdr:cNvPr id="7" name="吹き出し: 角を丸めた四角形 1">
          <a:extLst>
            <a:ext uri="{FF2B5EF4-FFF2-40B4-BE49-F238E27FC236}">
              <a16:creationId xmlns:a16="http://schemas.microsoft.com/office/drawing/2014/main" id="{00000000-0008-0000-0E00-000007000000}"/>
            </a:ext>
          </a:extLst>
        </xdr:cNvPr>
        <xdr:cNvSpPr/>
      </xdr:nvSpPr>
      <xdr:spPr>
        <a:xfrm>
          <a:off x="3733800" y="8755380"/>
          <a:ext cx="3253740" cy="1150620"/>
        </a:xfrm>
        <a:prstGeom prst="wedgeRoundRectCallout">
          <a:avLst>
            <a:gd name="adj1" fmla="val -56496"/>
            <a:gd name="adj2" fmla="val -48912"/>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・ネットワーク化によって解決する課題を①～⑦から選択（複数選択可）</a:t>
          </a:r>
          <a:endParaRPr kumimoji="1" lang="en-US" altLang="ja-JP" sz="1200"/>
        </a:p>
        <a:p>
          <a:pPr algn="l"/>
          <a:r>
            <a:rPr kumimoji="1" lang="ja-JP" altLang="en-US" sz="1200"/>
            <a:t>・選択した課題について、協定の現状を踏まえつつ、詳細を記入。</a:t>
          </a:r>
          <a:endParaRPr kumimoji="1" lang="en-US" altLang="ja-JP" sz="1200"/>
        </a:p>
      </xdr:txBody>
    </xdr:sp>
    <xdr:clientData/>
  </xdr:twoCellAnchor>
  <xdr:twoCellAnchor>
    <xdr:from>
      <xdr:col>11</xdr:col>
      <xdr:colOff>701040</xdr:colOff>
      <xdr:row>27</xdr:row>
      <xdr:rowOff>137160</xdr:rowOff>
    </xdr:from>
    <xdr:to>
      <xdr:col>14</xdr:col>
      <xdr:colOff>121920</xdr:colOff>
      <xdr:row>32</xdr:row>
      <xdr:rowOff>121920</xdr:rowOff>
    </xdr:to>
    <xdr:sp macro="" textlink="">
      <xdr:nvSpPr>
        <xdr:cNvPr id="8" name="吹き出し: 角を丸めた四角形 1">
          <a:extLst>
            <a:ext uri="{FF2B5EF4-FFF2-40B4-BE49-F238E27FC236}">
              <a16:creationId xmlns:a16="http://schemas.microsoft.com/office/drawing/2014/main" id="{00000000-0008-0000-0E00-000008000000}"/>
            </a:ext>
          </a:extLst>
        </xdr:cNvPr>
        <xdr:cNvSpPr/>
      </xdr:nvSpPr>
      <xdr:spPr>
        <a:xfrm>
          <a:off x="7711440" y="10180320"/>
          <a:ext cx="1615440" cy="1691640"/>
        </a:xfrm>
        <a:prstGeom prst="wedgeRoundRectCallout">
          <a:avLst>
            <a:gd name="adj1" fmla="val -62880"/>
            <a:gd name="adj2" fmla="val -43539"/>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ネットワーク化によって実施する具体的な活動について、①～⑩から選択。</a:t>
          </a:r>
          <a:r>
            <a:rPr kumimoji="1" lang="ja-JP" altLang="ja-JP" sz="1100">
              <a:solidFill>
                <a:schemeClr val="lt1"/>
              </a:solidFill>
              <a:effectLst/>
              <a:latin typeface="+mn-lt"/>
              <a:ea typeface="+mn-ea"/>
              <a:cs typeface="+mn-cs"/>
            </a:rPr>
            <a:t>（複数選択可）</a:t>
          </a:r>
          <a:endParaRPr kumimoji="1" lang="en-US" altLang="ja-JP" sz="1200"/>
        </a:p>
      </xdr:txBody>
    </xdr:sp>
    <xdr:clientData/>
  </xdr:twoCellAnchor>
  <xdr:twoCellAnchor>
    <xdr:from>
      <xdr:col>11</xdr:col>
      <xdr:colOff>281940</xdr:colOff>
      <xdr:row>38</xdr:row>
      <xdr:rowOff>236220</xdr:rowOff>
    </xdr:from>
    <xdr:to>
      <xdr:col>13</xdr:col>
      <xdr:colOff>434340</xdr:colOff>
      <xdr:row>39</xdr:row>
      <xdr:rowOff>830580</xdr:rowOff>
    </xdr:to>
    <xdr:sp macro="" textlink="">
      <xdr:nvSpPr>
        <xdr:cNvPr id="9" name="吹き出し: 角を丸めた四角形 1">
          <a:extLst>
            <a:ext uri="{FF2B5EF4-FFF2-40B4-BE49-F238E27FC236}">
              <a16:creationId xmlns:a16="http://schemas.microsoft.com/office/drawing/2014/main" id="{00000000-0008-0000-0E00-000009000000}"/>
            </a:ext>
          </a:extLst>
        </xdr:cNvPr>
        <xdr:cNvSpPr/>
      </xdr:nvSpPr>
      <xdr:spPr>
        <a:xfrm>
          <a:off x="7292340" y="13746480"/>
          <a:ext cx="1615440" cy="891540"/>
        </a:xfrm>
        <a:prstGeom prst="wedgeRoundRectCallout">
          <a:avLst>
            <a:gd name="adj1" fmla="val -69955"/>
            <a:gd name="adj2" fmla="val -35206"/>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連携方法（ネットワーク化の種類）を①～④から選択。</a:t>
          </a:r>
          <a:endParaRPr kumimoji="1" lang="en-US" altLang="ja-JP" sz="1200"/>
        </a:p>
      </xdr:txBody>
    </xdr:sp>
    <xdr:clientData/>
  </xdr:twoCellAnchor>
  <xdr:twoCellAnchor>
    <xdr:from>
      <xdr:col>5</xdr:col>
      <xdr:colOff>289560</xdr:colOff>
      <xdr:row>40</xdr:row>
      <xdr:rowOff>152400</xdr:rowOff>
    </xdr:from>
    <xdr:to>
      <xdr:col>11</xdr:col>
      <xdr:colOff>426720</xdr:colOff>
      <xdr:row>41</xdr:row>
      <xdr:rowOff>236220</xdr:rowOff>
    </xdr:to>
    <xdr:sp macro="" textlink="">
      <xdr:nvSpPr>
        <xdr:cNvPr id="10" name="吹き出し: 角を丸めた四角形 1">
          <a:extLst>
            <a:ext uri="{FF2B5EF4-FFF2-40B4-BE49-F238E27FC236}">
              <a16:creationId xmlns:a16="http://schemas.microsoft.com/office/drawing/2014/main" id="{00000000-0008-0000-0E00-00000A000000}"/>
            </a:ext>
          </a:extLst>
        </xdr:cNvPr>
        <xdr:cNvSpPr/>
      </xdr:nvSpPr>
      <xdr:spPr>
        <a:xfrm>
          <a:off x="3154680" y="15133320"/>
          <a:ext cx="4282440" cy="335280"/>
        </a:xfrm>
        <a:prstGeom prst="wedgeRoundRectCallout">
          <a:avLst>
            <a:gd name="adj1" fmla="val -67144"/>
            <a:gd name="adj2" fmla="val 30702"/>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ネットワーク化の工程（スケジュール）を例を参考に記入。</a:t>
          </a:r>
          <a:endParaRPr kumimoji="1" lang="en-US" altLang="ja-JP" sz="1200"/>
        </a:p>
      </xdr:txBody>
    </xdr:sp>
    <xdr:clientData/>
  </xdr:twoCellAnchor>
  <xdr:twoCellAnchor>
    <xdr:from>
      <xdr:col>7</xdr:col>
      <xdr:colOff>76200</xdr:colOff>
      <xdr:row>47</xdr:row>
      <xdr:rowOff>0</xdr:rowOff>
    </xdr:from>
    <xdr:to>
      <xdr:col>10</xdr:col>
      <xdr:colOff>365760</xdr:colOff>
      <xdr:row>48</xdr:row>
      <xdr:rowOff>38100</xdr:rowOff>
    </xdr:to>
    <xdr:sp macro="" textlink="">
      <xdr:nvSpPr>
        <xdr:cNvPr id="12" name="吹き出し: 角を丸めた四角形 1">
          <a:extLst>
            <a:ext uri="{FF2B5EF4-FFF2-40B4-BE49-F238E27FC236}">
              <a16:creationId xmlns:a16="http://schemas.microsoft.com/office/drawing/2014/main" id="{00000000-0008-0000-0E00-00000C000000}"/>
            </a:ext>
          </a:extLst>
        </xdr:cNvPr>
        <xdr:cNvSpPr/>
      </xdr:nvSpPr>
      <xdr:spPr>
        <a:xfrm>
          <a:off x="4160520" y="16924020"/>
          <a:ext cx="2484120" cy="228600"/>
        </a:xfrm>
        <a:prstGeom prst="wedgeRoundRectCallout">
          <a:avLst>
            <a:gd name="adj1" fmla="val -70047"/>
            <a:gd name="adj2" fmla="val 26762"/>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050"/>
            <a:t>2-4</a:t>
          </a:r>
          <a:r>
            <a:rPr kumimoji="1" lang="ja-JP" altLang="en-US" sz="1050"/>
            <a:t>で選択した活動を開始する年度</a:t>
          </a:r>
          <a:endParaRPr kumimoji="1" lang="en-US" altLang="ja-JP" sz="1050"/>
        </a:p>
      </xdr:txBody>
    </xdr:sp>
    <xdr:clientData/>
  </xdr:twoCellAnchor>
  <xdr:twoCellAnchor>
    <xdr:from>
      <xdr:col>5</xdr:col>
      <xdr:colOff>243840</xdr:colOff>
      <xdr:row>49</xdr:row>
      <xdr:rowOff>22860</xdr:rowOff>
    </xdr:from>
    <xdr:to>
      <xdr:col>9</xdr:col>
      <xdr:colOff>45720</xdr:colOff>
      <xdr:row>49</xdr:row>
      <xdr:rowOff>251460</xdr:rowOff>
    </xdr:to>
    <xdr:sp macro="" textlink="">
      <xdr:nvSpPr>
        <xdr:cNvPr id="13" name="吹き出し: 角を丸めた四角形 1">
          <a:extLst>
            <a:ext uri="{FF2B5EF4-FFF2-40B4-BE49-F238E27FC236}">
              <a16:creationId xmlns:a16="http://schemas.microsoft.com/office/drawing/2014/main" id="{00000000-0008-0000-0E00-00000D000000}"/>
            </a:ext>
          </a:extLst>
        </xdr:cNvPr>
        <xdr:cNvSpPr/>
      </xdr:nvSpPr>
      <xdr:spPr>
        <a:xfrm>
          <a:off x="3108960" y="17327880"/>
          <a:ext cx="2484120" cy="228600"/>
        </a:xfrm>
        <a:prstGeom prst="wedgeRoundRectCallout">
          <a:avLst>
            <a:gd name="adj1" fmla="val -70047"/>
            <a:gd name="adj2" fmla="val 26762"/>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050"/>
            <a:t>協議会型の場合は設置年度を記入。</a:t>
          </a:r>
          <a:endParaRPr kumimoji="1" lang="en-US" altLang="ja-JP" sz="1050"/>
        </a:p>
      </xdr:txBody>
    </xdr:sp>
    <xdr:clientData/>
  </xdr:twoCellAnchor>
  <xdr:twoCellAnchor>
    <xdr:from>
      <xdr:col>10</xdr:col>
      <xdr:colOff>144780</xdr:colOff>
      <xdr:row>49</xdr:row>
      <xdr:rowOff>68580</xdr:rowOff>
    </xdr:from>
    <xdr:to>
      <xdr:col>14</xdr:col>
      <xdr:colOff>7620</xdr:colOff>
      <xdr:row>49</xdr:row>
      <xdr:rowOff>297180</xdr:rowOff>
    </xdr:to>
    <xdr:sp macro="" textlink="">
      <xdr:nvSpPr>
        <xdr:cNvPr id="15" name="吹き出し: 角を丸めた四角形 1">
          <a:extLst>
            <a:ext uri="{FF2B5EF4-FFF2-40B4-BE49-F238E27FC236}">
              <a16:creationId xmlns:a16="http://schemas.microsoft.com/office/drawing/2014/main" id="{00000000-0008-0000-0E00-00000F000000}"/>
            </a:ext>
          </a:extLst>
        </xdr:cNvPr>
        <xdr:cNvSpPr/>
      </xdr:nvSpPr>
      <xdr:spPr>
        <a:xfrm>
          <a:off x="6423660" y="17373600"/>
          <a:ext cx="2788920" cy="228600"/>
        </a:xfrm>
        <a:prstGeom prst="wedgeRoundRectCallout">
          <a:avLst>
            <a:gd name="adj1" fmla="val -33851"/>
            <a:gd name="adj2" fmla="val 86762"/>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050"/>
            <a:t>ネットワーク化加算を受ける場合は記入。</a:t>
          </a:r>
          <a:endParaRPr kumimoji="1" lang="en-US" altLang="ja-JP" sz="1050"/>
        </a:p>
      </xdr:txBody>
    </xdr:sp>
    <xdr:clientData/>
  </xdr:twoCellAnchor>
  <xdr:twoCellAnchor>
    <xdr:from>
      <xdr:col>8</xdr:col>
      <xdr:colOff>388620</xdr:colOff>
      <xdr:row>57</xdr:row>
      <xdr:rowOff>114300</xdr:rowOff>
    </xdr:from>
    <xdr:to>
      <xdr:col>11</xdr:col>
      <xdr:colOff>190500</xdr:colOff>
      <xdr:row>59</xdr:row>
      <xdr:rowOff>198120</xdr:rowOff>
    </xdr:to>
    <xdr:sp macro="" textlink="">
      <xdr:nvSpPr>
        <xdr:cNvPr id="16" name="吹き出し: 角を丸めた四角形 1">
          <a:extLst>
            <a:ext uri="{FF2B5EF4-FFF2-40B4-BE49-F238E27FC236}">
              <a16:creationId xmlns:a16="http://schemas.microsoft.com/office/drawing/2014/main" id="{00000000-0008-0000-0E00-000010000000}"/>
            </a:ext>
          </a:extLst>
        </xdr:cNvPr>
        <xdr:cNvSpPr/>
      </xdr:nvSpPr>
      <xdr:spPr>
        <a:xfrm>
          <a:off x="5204460" y="19766280"/>
          <a:ext cx="1996440" cy="662940"/>
        </a:xfrm>
        <a:prstGeom prst="wedgeRoundRectCallout">
          <a:avLst>
            <a:gd name="adj1" fmla="val -54710"/>
            <a:gd name="adj2" fmla="val -47951"/>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050"/>
            <a:t>工程について、詳細に記入。</a:t>
          </a:r>
          <a:endParaRPr kumimoji="1" lang="en-US" altLang="ja-JP" sz="1050"/>
        </a:p>
      </xdr:txBody>
    </xdr:sp>
    <xdr:clientData/>
  </xdr:twoCellAnchor>
  <xdr:twoCellAnchor>
    <xdr:from>
      <xdr:col>10</xdr:col>
      <xdr:colOff>342900</xdr:colOff>
      <xdr:row>63</xdr:row>
      <xdr:rowOff>7620</xdr:rowOff>
    </xdr:from>
    <xdr:to>
      <xdr:col>14</xdr:col>
      <xdr:colOff>68580</xdr:colOff>
      <xdr:row>67</xdr:row>
      <xdr:rowOff>15240</xdr:rowOff>
    </xdr:to>
    <xdr:sp macro="" textlink="">
      <xdr:nvSpPr>
        <xdr:cNvPr id="17" name="吹き出し: 角を丸めた四角形 1">
          <a:extLst>
            <a:ext uri="{FF2B5EF4-FFF2-40B4-BE49-F238E27FC236}">
              <a16:creationId xmlns:a16="http://schemas.microsoft.com/office/drawing/2014/main" id="{00000000-0008-0000-0E00-000011000000}"/>
            </a:ext>
          </a:extLst>
        </xdr:cNvPr>
        <xdr:cNvSpPr/>
      </xdr:nvSpPr>
      <xdr:spPr>
        <a:xfrm>
          <a:off x="6621780" y="21473160"/>
          <a:ext cx="2651760" cy="1181100"/>
        </a:xfrm>
        <a:prstGeom prst="wedgeRoundRectCallout">
          <a:avLst>
            <a:gd name="adj1" fmla="val -74176"/>
            <a:gd name="adj2" fmla="val 23313"/>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050"/>
            <a:t>統合の予定の有無を記入。</a:t>
          </a:r>
          <a:endParaRPr kumimoji="1" lang="en-US" altLang="ja-JP" sz="1050"/>
        </a:p>
        <a:p>
          <a:pPr algn="l"/>
          <a:r>
            <a:rPr kumimoji="1" lang="en-US" altLang="ja-JP" sz="1050"/>
            <a:t>※</a:t>
          </a:r>
          <a:r>
            <a:rPr kumimoji="1" lang="ja-JP" altLang="en-US" sz="1050"/>
            <a:t>統合することは義務ではありません。予定がなかったり、必要がないと考える場合は⑤を選択してください。</a:t>
          </a:r>
          <a:endParaRPr kumimoji="1" lang="en-US" altLang="ja-JP" sz="1050"/>
        </a:p>
      </xdr:txBody>
    </xdr:sp>
    <xdr:clientData/>
  </xdr:twoCellAnchor>
  <xdr:twoCellAnchor>
    <xdr:from>
      <xdr:col>5</xdr:col>
      <xdr:colOff>609600</xdr:colOff>
      <xdr:row>15</xdr:row>
      <xdr:rowOff>203835</xdr:rowOff>
    </xdr:from>
    <xdr:to>
      <xdr:col>8</xdr:col>
      <xdr:colOff>502919</xdr:colOff>
      <xdr:row>17</xdr:row>
      <xdr:rowOff>198120</xdr:rowOff>
    </xdr:to>
    <xdr:sp macro="" textlink="">
      <xdr:nvSpPr>
        <xdr:cNvPr id="18" name="吹き出し: 角を丸めた四角形 1">
          <a:extLst>
            <a:ext uri="{FF2B5EF4-FFF2-40B4-BE49-F238E27FC236}">
              <a16:creationId xmlns:a16="http://schemas.microsoft.com/office/drawing/2014/main" id="{00000000-0008-0000-0E00-000012000000}"/>
            </a:ext>
          </a:extLst>
        </xdr:cNvPr>
        <xdr:cNvSpPr/>
      </xdr:nvSpPr>
      <xdr:spPr>
        <a:xfrm>
          <a:off x="3474720" y="5431155"/>
          <a:ext cx="1844039" cy="588645"/>
        </a:xfrm>
        <a:prstGeom prst="wedgeRoundRectCallout">
          <a:avLst>
            <a:gd name="adj1" fmla="val -31437"/>
            <a:gd name="adj2" fmla="val -74367"/>
            <a:gd name="adj3" fmla="val 16667"/>
          </a:avLst>
        </a:prstGeom>
        <a:solidFill>
          <a:srgbClr val="FF0000"/>
        </a:solidFill>
        <a:ln>
          <a:solidFill>
            <a:srgbClr val="FF0000"/>
          </a:solid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b="1"/>
            <a:t>合計は</a:t>
          </a:r>
          <a:r>
            <a:rPr kumimoji="1" lang="en-US" altLang="ja-JP" sz="1200" b="1"/>
            <a:t>10ha</a:t>
          </a:r>
          <a:r>
            <a:rPr kumimoji="1" lang="ja-JP" altLang="en-US" sz="1200" b="1"/>
            <a:t>以上でなければなりません。</a:t>
          </a:r>
          <a:endParaRPr kumimoji="1" lang="en-US" altLang="ja-JP" sz="1200" b="1"/>
        </a:p>
      </xdr:txBody>
    </xdr:sp>
    <xdr:clientData/>
  </xdr:twoCellAnchor>
  <xdr:twoCellAnchor>
    <xdr:from>
      <xdr:col>5</xdr:col>
      <xdr:colOff>365760</xdr:colOff>
      <xdr:row>13</xdr:row>
      <xdr:rowOff>243840</xdr:rowOff>
    </xdr:from>
    <xdr:to>
      <xdr:col>7</xdr:col>
      <xdr:colOff>80010</xdr:colOff>
      <xdr:row>15</xdr:row>
      <xdr:rowOff>24765</xdr:rowOff>
    </xdr:to>
    <xdr:sp macro="" textlink="">
      <xdr:nvSpPr>
        <xdr:cNvPr id="19" name="楕円 18">
          <a:extLst>
            <a:ext uri="{FF2B5EF4-FFF2-40B4-BE49-F238E27FC236}">
              <a16:creationId xmlns:a16="http://schemas.microsoft.com/office/drawing/2014/main" id="{00000000-0008-0000-0E00-000013000000}"/>
            </a:ext>
          </a:extLst>
        </xdr:cNvPr>
        <xdr:cNvSpPr/>
      </xdr:nvSpPr>
      <xdr:spPr>
        <a:xfrm>
          <a:off x="3230880" y="4861560"/>
          <a:ext cx="93345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542925</xdr:colOff>
      <xdr:row>3</xdr:row>
      <xdr:rowOff>123825</xdr:rowOff>
    </xdr:from>
    <xdr:to>
      <xdr:col>10</xdr:col>
      <xdr:colOff>371475</xdr:colOff>
      <xdr:row>6</xdr:row>
      <xdr:rowOff>209551</xdr:rowOff>
    </xdr:to>
    <xdr:sp macro="" textlink="">
      <xdr:nvSpPr>
        <xdr:cNvPr id="2" name="吹き出し: 角を丸めた四角形 1">
          <a:extLst>
            <a:ext uri="{FF2B5EF4-FFF2-40B4-BE49-F238E27FC236}">
              <a16:creationId xmlns:a16="http://schemas.microsoft.com/office/drawing/2014/main" id="{00000000-0008-0000-0F00-000002000000}"/>
            </a:ext>
          </a:extLst>
        </xdr:cNvPr>
        <xdr:cNvSpPr/>
      </xdr:nvSpPr>
      <xdr:spPr>
        <a:xfrm>
          <a:off x="3619500" y="1543050"/>
          <a:ext cx="3495675" cy="981076"/>
        </a:xfrm>
        <a:prstGeom prst="wedgeRoundRectCallout">
          <a:avLst>
            <a:gd name="adj1" fmla="val -62047"/>
            <a:gd name="adj2" fmla="val -20826"/>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統合してできた協定に「名前」をつけてください。</a:t>
          </a:r>
          <a:endParaRPr kumimoji="1" lang="en-US" altLang="ja-JP" sz="1200"/>
        </a:p>
        <a:p>
          <a:pPr algn="l"/>
          <a:r>
            <a:rPr kumimoji="1" lang="ja-JP" altLang="en-US" sz="1200"/>
            <a:t>例</a:t>
          </a:r>
          <a:r>
            <a:rPr kumimoji="1" lang="en-US" altLang="ja-JP" sz="1200"/>
            <a:t>1</a:t>
          </a:r>
          <a:r>
            <a:rPr kumimoji="1" lang="ja-JP" altLang="en-US" sz="1200"/>
            <a:t>）○○広域協定</a:t>
          </a:r>
          <a:endParaRPr kumimoji="1" lang="en-US" altLang="ja-JP" sz="1200"/>
        </a:p>
        <a:p>
          <a:pPr algn="l"/>
          <a:r>
            <a:rPr kumimoji="1" lang="ja-JP" altLang="en-US" sz="1200"/>
            <a:t>例</a:t>
          </a:r>
          <a:r>
            <a:rPr kumimoji="1" lang="en-US" altLang="ja-JP" sz="1200"/>
            <a:t>2</a:t>
          </a:r>
          <a:r>
            <a:rPr kumimoji="1" lang="ja-JP" altLang="en-US" sz="1200"/>
            <a:t>）</a:t>
          </a:r>
          <a:r>
            <a:rPr kumimoji="1" lang="en-US" altLang="ja-JP" sz="1200"/>
            <a:t>××</a:t>
          </a:r>
          <a:r>
            <a:rPr kumimoji="1" lang="ja-JP" altLang="en-US" sz="1200"/>
            <a:t>・□□集落協定</a:t>
          </a:r>
          <a:endParaRPr kumimoji="1" lang="en-US" altLang="ja-JP" sz="1200"/>
        </a:p>
      </xdr:txBody>
    </xdr:sp>
    <xdr:clientData/>
  </xdr:twoCellAnchor>
  <xdr:twoCellAnchor>
    <xdr:from>
      <xdr:col>2</xdr:col>
      <xdr:colOff>0</xdr:colOff>
      <xdr:row>11</xdr:row>
      <xdr:rowOff>142875</xdr:rowOff>
    </xdr:from>
    <xdr:to>
      <xdr:col>3</xdr:col>
      <xdr:colOff>409575</xdr:colOff>
      <xdr:row>14</xdr:row>
      <xdr:rowOff>0</xdr:rowOff>
    </xdr:to>
    <xdr:sp macro="" textlink="">
      <xdr:nvSpPr>
        <xdr:cNvPr id="3" name="吹き出し: 角を丸めた四角形 1">
          <a:extLst>
            <a:ext uri="{FF2B5EF4-FFF2-40B4-BE49-F238E27FC236}">
              <a16:creationId xmlns:a16="http://schemas.microsoft.com/office/drawing/2014/main" id="{00000000-0008-0000-0F00-000003000000}"/>
            </a:ext>
          </a:extLst>
        </xdr:cNvPr>
        <xdr:cNvSpPr/>
      </xdr:nvSpPr>
      <xdr:spPr>
        <a:xfrm>
          <a:off x="876300" y="4229100"/>
          <a:ext cx="1143000" cy="771525"/>
        </a:xfrm>
        <a:prstGeom prst="wedgeRoundRectCallout">
          <a:avLst>
            <a:gd name="adj1" fmla="val -59203"/>
            <a:gd name="adj2" fmla="val -43674"/>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統合する協定名を記入。</a:t>
          </a:r>
          <a:endParaRPr kumimoji="1" lang="en-US" altLang="ja-JP" sz="1200"/>
        </a:p>
      </xdr:txBody>
    </xdr:sp>
    <xdr:clientData/>
  </xdr:twoCellAnchor>
  <xdr:twoCellAnchor>
    <xdr:from>
      <xdr:col>4</xdr:col>
      <xdr:colOff>57150</xdr:colOff>
      <xdr:row>11</xdr:row>
      <xdr:rowOff>19049</xdr:rowOff>
    </xdr:from>
    <xdr:to>
      <xdr:col>5</xdr:col>
      <xdr:colOff>729615</xdr:colOff>
      <xdr:row>14</xdr:row>
      <xdr:rowOff>161924</xdr:rowOff>
    </xdr:to>
    <xdr:sp macro="" textlink="">
      <xdr:nvSpPr>
        <xdr:cNvPr id="4" name="吹き出し: 角を丸めた四角形 1">
          <a:extLst>
            <a:ext uri="{FF2B5EF4-FFF2-40B4-BE49-F238E27FC236}">
              <a16:creationId xmlns:a16="http://schemas.microsoft.com/office/drawing/2014/main" id="{00000000-0008-0000-0F00-000004000000}"/>
            </a:ext>
          </a:extLst>
        </xdr:cNvPr>
        <xdr:cNvSpPr/>
      </xdr:nvSpPr>
      <xdr:spPr>
        <a:xfrm>
          <a:off x="2400300" y="4105274"/>
          <a:ext cx="1405890" cy="1057275"/>
        </a:xfrm>
        <a:prstGeom prst="wedgeRoundRectCallout">
          <a:avLst>
            <a:gd name="adj1" fmla="val 36797"/>
            <a:gd name="adj2" fmla="val -61856"/>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それぞれの協定農用地面積</a:t>
          </a:r>
          <a:r>
            <a:rPr kumimoji="1" lang="en-US" altLang="ja-JP" sz="1200"/>
            <a:t>(ha)</a:t>
          </a:r>
          <a:r>
            <a:rPr kumimoji="1" lang="ja-JP" altLang="en-US" sz="1200"/>
            <a:t>を記入。</a:t>
          </a:r>
          <a:endParaRPr kumimoji="1" lang="en-US" altLang="ja-JP" sz="1200"/>
        </a:p>
      </xdr:txBody>
    </xdr:sp>
    <xdr:clientData/>
  </xdr:twoCellAnchor>
  <xdr:twoCellAnchor>
    <xdr:from>
      <xdr:col>11</xdr:col>
      <xdr:colOff>175260</xdr:colOff>
      <xdr:row>10</xdr:row>
      <xdr:rowOff>140970</xdr:rowOff>
    </xdr:from>
    <xdr:to>
      <xdr:col>13</xdr:col>
      <xdr:colOff>613410</xdr:colOff>
      <xdr:row>14</xdr:row>
      <xdr:rowOff>72390</xdr:rowOff>
    </xdr:to>
    <xdr:sp macro="" textlink="">
      <xdr:nvSpPr>
        <xdr:cNvPr id="5" name="吹き出し: 角を丸めた四角形 1">
          <a:extLst>
            <a:ext uri="{FF2B5EF4-FFF2-40B4-BE49-F238E27FC236}">
              <a16:creationId xmlns:a16="http://schemas.microsoft.com/office/drawing/2014/main" id="{00000000-0008-0000-0F00-000005000000}"/>
            </a:ext>
          </a:extLst>
        </xdr:cNvPr>
        <xdr:cNvSpPr/>
      </xdr:nvSpPr>
      <xdr:spPr>
        <a:xfrm>
          <a:off x="7652385" y="3922395"/>
          <a:ext cx="1905000" cy="1150620"/>
        </a:xfrm>
        <a:prstGeom prst="wedgeRoundRectCallout">
          <a:avLst>
            <a:gd name="adj1" fmla="val -61118"/>
            <a:gd name="adj2" fmla="val -30865"/>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それぞれの協定が位置する地域計画の区域を記入。</a:t>
          </a:r>
          <a:endParaRPr kumimoji="1" lang="en-US" altLang="ja-JP" sz="1200"/>
        </a:p>
        <a:p>
          <a:pPr algn="l"/>
          <a:r>
            <a:rPr kumimoji="1" lang="en-US" altLang="ja-JP" sz="1200"/>
            <a:t>※</a:t>
          </a:r>
          <a:r>
            <a:rPr kumimoji="1" lang="ja-JP" altLang="en-US" sz="1200"/>
            <a:t>別紙参照</a:t>
          </a:r>
          <a:endParaRPr kumimoji="1" lang="en-US" altLang="ja-JP" sz="1200"/>
        </a:p>
      </xdr:txBody>
    </xdr:sp>
    <xdr:clientData/>
  </xdr:twoCellAnchor>
  <xdr:twoCellAnchor>
    <xdr:from>
      <xdr:col>7</xdr:col>
      <xdr:colOff>701039</xdr:colOff>
      <xdr:row>14</xdr:row>
      <xdr:rowOff>38100</xdr:rowOff>
    </xdr:from>
    <xdr:to>
      <xdr:col>10</xdr:col>
      <xdr:colOff>266699</xdr:colOff>
      <xdr:row>15</xdr:row>
      <xdr:rowOff>571500</xdr:rowOff>
    </xdr:to>
    <xdr:sp macro="" textlink="">
      <xdr:nvSpPr>
        <xdr:cNvPr id="7" name="吹き出し: 角を丸めた四角形 1">
          <a:extLst>
            <a:ext uri="{FF2B5EF4-FFF2-40B4-BE49-F238E27FC236}">
              <a16:creationId xmlns:a16="http://schemas.microsoft.com/office/drawing/2014/main" id="{00000000-0008-0000-0F00-000007000000}"/>
            </a:ext>
          </a:extLst>
        </xdr:cNvPr>
        <xdr:cNvSpPr/>
      </xdr:nvSpPr>
      <xdr:spPr>
        <a:xfrm>
          <a:off x="5244464" y="5038725"/>
          <a:ext cx="1765935" cy="838200"/>
        </a:xfrm>
        <a:prstGeom prst="wedgeRoundRectCallout">
          <a:avLst>
            <a:gd name="adj1" fmla="val -79288"/>
            <a:gd name="adj2" fmla="val -27765"/>
            <a:gd name="adj3" fmla="val 16667"/>
          </a:avLst>
        </a:prstGeom>
        <a:solidFill>
          <a:srgbClr val="FF0000"/>
        </a:solidFill>
        <a:ln>
          <a:solidFill>
            <a:srgbClr val="FF0000"/>
          </a:solid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b="1"/>
            <a:t>合計は</a:t>
          </a:r>
          <a:r>
            <a:rPr kumimoji="1" lang="en-US" altLang="ja-JP" sz="1200" b="1"/>
            <a:t>10ha</a:t>
          </a:r>
          <a:r>
            <a:rPr kumimoji="1" lang="ja-JP" altLang="en-US" sz="1200" b="1"/>
            <a:t>以上でなければなりません。</a:t>
          </a:r>
          <a:endParaRPr kumimoji="1" lang="en-US" altLang="ja-JP" sz="1200" b="1"/>
        </a:p>
      </xdr:txBody>
    </xdr:sp>
    <xdr:clientData/>
  </xdr:twoCellAnchor>
  <xdr:twoCellAnchor>
    <xdr:from>
      <xdr:col>5</xdr:col>
      <xdr:colOff>676275</xdr:colOff>
      <xdr:row>13</xdr:row>
      <xdr:rowOff>276225</xdr:rowOff>
    </xdr:from>
    <xdr:to>
      <xdr:col>7</xdr:col>
      <xdr:colOff>142875</xdr:colOff>
      <xdr:row>15</xdr:row>
      <xdr:rowOff>57150</xdr:rowOff>
    </xdr:to>
    <xdr:sp macro="" textlink="">
      <xdr:nvSpPr>
        <xdr:cNvPr id="8" name="楕円 7">
          <a:extLst>
            <a:ext uri="{FF2B5EF4-FFF2-40B4-BE49-F238E27FC236}">
              <a16:creationId xmlns:a16="http://schemas.microsoft.com/office/drawing/2014/main" id="{00000000-0008-0000-0F00-000008000000}"/>
            </a:ext>
          </a:extLst>
        </xdr:cNvPr>
        <xdr:cNvSpPr/>
      </xdr:nvSpPr>
      <xdr:spPr>
        <a:xfrm>
          <a:off x="3752850" y="4972050"/>
          <a:ext cx="93345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723900</xdr:colOff>
      <xdr:row>23</xdr:row>
      <xdr:rowOff>942975</xdr:rowOff>
    </xdr:from>
    <xdr:to>
      <xdr:col>12</xdr:col>
      <xdr:colOff>495300</xdr:colOff>
      <xdr:row>26</xdr:row>
      <xdr:rowOff>150495</xdr:rowOff>
    </xdr:to>
    <xdr:sp macro="" textlink="">
      <xdr:nvSpPr>
        <xdr:cNvPr id="9" name="吹き出し: 角を丸めた四角形 1">
          <a:extLst>
            <a:ext uri="{FF2B5EF4-FFF2-40B4-BE49-F238E27FC236}">
              <a16:creationId xmlns:a16="http://schemas.microsoft.com/office/drawing/2014/main" id="{00000000-0008-0000-0F00-000009000000}"/>
            </a:ext>
          </a:extLst>
        </xdr:cNvPr>
        <xdr:cNvSpPr/>
      </xdr:nvSpPr>
      <xdr:spPr>
        <a:xfrm>
          <a:off x="6000750" y="8943975"/>
          <a:ext cx="2705100" cy="1150620"/>
        </a:xfrm>
        <a:prstGeom prst="wedgeRoundRectCallout">
          <a:avLst>
            <a:gd name="adj1" fmla="val -56496"/>
            <a:gd name="adj2" fmla="val -48084"/>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・統合によって解決する課題を①～⑦から選択（複数選択可）</a:t>
          </a:r>
          <a:endParaRPr kumimoji="1" lang="en-US" altLang="ja-JP" sz="1200"/>
        </a:p>
        <a:p>
          <a:pPr algn="l"/>
          <a:r>
            <a:rPr kumimoji="1" lang="ja-JP" altLang="en-US" sz="1200"/>
            <a:t>・選択した課題について、協定の現状を踏まえつつ、詳細を記入。</a:t>
          </a:r>
          <a:endParaRPr kumimoji="1" lang="en-US" altLang="ja-JP" sz="1200"/>
        </a:p>
      </xdr:txBody>
    </xdr:sp>
    <xdr:clientData/>
  </xdr:twoCellAnchor>
  <xdr:twoCellAnchor>
    <xdr:from>
      <xdr:col>12</xdr:col>
      <xdr:colOff>219075</xdr:colOff>
      <xdr:row>27</xdr:row>
      <xdr:rowOff>85725</xdr:rowOff>
    </xdr:from>
    <xdr:to>
      <xdr:col>14</xdr:col>
      <xdr:colOff>114300</xdr:colOff>
      <xdr:row>33</xdr:row>
      <xdr:rowOff>85725</xdr:rowOff>
    </xdr:to>
    <xdr:sp macro="" textlink="">
      <xdr:nvSpPr>
        <xdr:cNvPr id="10" name="吹き出し: 角を丸めた四角形 1">
          <a:extLst>
            <a:ext uri="{FF2B5EF4-FFF2-40B4-BE49-F238E27FC236}">
              <a16:creationId xmlns:a16="http://schemas.microsoft.com/office/drawing/2014/main" id="{00000000-0008-0000-0F00-00000A000000}"/>
            </a:ext>
          </a:extLst>
        </xdr:cNvPr>
        <xdr:cNvSpPr/>
      </xdr:nvSpPr>
      <xdr:spPr>
        <a:xfrm>
          <a:off x="8429625" y="10315575"/>
          <a:ext cx="1362075" cy="1809750"/>
        </a:xfrm>
        <a:prstGeom prst="wedgeRoundRectCallout">
          <a:avLst>
            <a:gd name="adj1" fmla="val -64122"/>
            <a:gd name="adj2" fmla="val -31284"/>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統合によって実施する具体的な活動について、①～⑩から選択。</a:t>
          </a:r>
          <a:r>
            <a:rPr kumimoji="1" lang="ja-JP" altLang="ja-JP" sz="1100">
              <a:solidFill>
                <a:schemeClr val="lt1"/>
              </a:solidFill>
              <a:effectLst/>
              <a:latin typeface="+mn-lt"/>
              <a:ea typeface="+mn-ea"/>
              <a:cs typeface="+mn-cs"/>
            </a:rPr>
            <a:t>（複数選択可）</a:t>
          </a:r>
          <a:endParaRPr lang="ja-JP" altLang="ja-JP" sz="1200">
            <a:effectLst/>
          </a:endParaRPr>
        </a:p>
      </xdr:txBody>
    </xdr:sp>
    <xdr:clientData/>
  </xdr:twoCellAnchor>
  <xdr:twoCellAnchor>
    <xdr:from>
      <xdr:col>3</xdr:col>
      <xdr:colOff>676275</xdr:colOff>
      <xdr:row>35</xdr:row>
      <xdr:rowOff>95250</xdr:rowOff>
    </xdr:from>
    <xdr:to>
      <xdr:col>9</xdr:col>
      <xdr:colOff>215265</xdr:colOff>
      <xdr:row>36</xdr:row>
      <xdr:rowOff>144780</xdr:rowOff>
    </xdr:to>
    <xdr:sp macro="" textlink="">
      <xdr:nvSpPr>
        <xdr:cNvPr id="11" name="吹き出し: 角を丸めた四角形 1">
          <a:extLst>
            <a:ext uri="{FF2B5EF4-FFF2-40B4-BE49-F238E27FC236}">
              <a16:creationId xmlns:a16="http://schemas.microsoft.com/office/drawing/2014/main" id="{00000000-0008-0000-0F00-00000B000000}"/>
            </a:ext>
          </a:extLst>
        </xdr:cNvPr>
        <xdr:cNvSpPr/>
      </xdr:nvSpPr>
      <xdr:spPr>
        <a:xfrm>
          <a:off x="2286000" y="12687300"/>
          <a:ext cx="3939540" cy="335280"/>
        </a:xfrm>
        <a:prstGeom prst="wedgeRoundRectCallout">
          <a:avLst>
            <a:gd name="adj1" fmla="val -67144"/>
            <a:gd name="adj2" fmla="val 30702"/>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統合の工程（スケジュール）を例を参考に記入。</a:t>
          </a:r>
          <a:endParaRPr kumimoji="1" lang="en-US" altLang="ja-JP" sz="1200"/>
        </a:p>
      </xdr:txBody>
    </xdr:sp>
    <xdr:clientData/>
  </xdr:twoCellAnchor>
  <xdr:twoCellAnchor>
    <xdr:from>
      <xdr:col>9</xdr:col>
      <xdr:colOff>257810</xdr:colOff>
      <xdr:row>40</xdr:row>
      <xdr:rowOff>171450</xdr:rowOff>
    </xdr:from>
    <xdr:to>
      <xdr:col>13</xdr:col>
      <xdr:colOff>273050</xdr:colOff>
      <xdr:row>40</xdr:row>
      <xdr:rowOff>450850</xdr:rowOff>
    </xdr:to>
    <xdr:sp macro="" textlink="">
      <xdr:nvSpPr>
        <xdr:cNvPr id="13" name="吹き出し: 角を丸めた四角形 1">
          <a:extLst>
            <a:ext uri="{FF2B5EF4-FFF2-40B4-BE49-F238E27FC236}">
              <a16:creationId xmlns:a16="http://schemas.microsoft.com/office/drawing/2014/main" id="{00000000-0008-0000-0F00-00000D000000}"/>
            </a:ext>
          </a:extLst>
        </xdr:cNvPr>
        <xdr:cNvSpPr/>
      </xdr:nvSpPr>
      <xdr:spPr>
        <a:xfrm>
          <a:off x="5775960" y="14300200"/>
          <a:ext cx="2707640" cy="279400"/>
        </a:xfrm>
        <a:prstGeom prst="wedgeRoundRectCallout">
          <a:avLst>
            <a:gd name="adj1" fmla="val -33851"/>
            <a:gd name="adj2" fmla="val 86762"/>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050"/>
            <a:t>ネットワーク化加算を受ける場合は記入。</a:t>
          </a:r>
          <a:endParaRPr kumimoji="1" lang="en-US" altLang="ja-JP" sz="1050"/>
        </a:p>
      </xdr:txBody>
    </xdr:sp>
    <xdr:clientData/>
  </xdr:twoCellAnchor>
  <xdr:twoCellAnchor>
    <xdr:from>
      <xdr:col>10</xdr:col>
      <xdr:colOff>152400</xdr:colOff>
      <xdr:row>42</xdr:row>
      <xdr:rowOff>2657475</xdr:rowOff>
    </xdr:from>
    <xdr:to>
      <xdr:col>12</xdr:col>
      <xdr:colOff>681990</xdr:colOff>
      <xdr:row>44</xdr:row>
      <xdr:rowOff>34290</xdr:rowOff>
    </xdr:to>
    <xdr:sp macro="" textlink="">
      <xdr:nvSpPr>
        <xdr:cNvPr id="14" name="吹き出し: 角を丸めた四角形 1">
          <a:extLst>
            <a:ext uri="{FF2B5EF4-FFF2-40B4-BE49-F238E27FC236}">
              <a16:creationId xmlns:a16="http://schemas.microsoft.com/office/drawing/2014/main" id="{00000000-0008-0000-0F00-00000E000000}"/>
            </a:ext>
          </a:extLst>
        </xdr:cNvPr>
        <xdr:cNvSpPr/>
      </xdr:nvSpPr>
      <xdr:spPr>
        <a:xfrm>
          <a:off x="6896100" y="17506950"/>
          <a:ext cx="1996440" cy="662940"/>
        </a:xfrm>
        <a:prstGeom prst="wedgeRoundRectCallout">
          <a:avLst>
            <a:gd name="adj1" fmla="val -54710"/>
            <a:gd name="adj2" fmla="val -47951"/>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050"/>
            <a:t>工程について、詳細に記入。</a:t>
          </a:r>
          <a:endParaRPr kumimoji="1" lang="en-US" altLang="ja-JP" sz="1050"/>
        </a:p>
      </xdr:txBody>
    </xdr:sp>
    <xdr:clientData/>
  </xdr:twoCellAnchor>
  <xdr:twoCellAnchor>
    <xdr:from>
      <xdr:col>4</xdr:col>
      <xdr:colOff>390526</xdr:colOff>
      <xdr:row>46</xdr:row>
      <xdr:rowOff>209549</xdr:rowOff>
    </xdr:from>
    <xdr:to>
      <xdr:col>5</xdr:col>
      <xdr:colOff>533401</xdr:colOff>
      <xdr:row>50</xdr:row>
      <xdr:rowOff>228600</xdr:rowOff>
    </xdr:to>
    <xdr:sp macro="" textlink="">
      <xdr:nvSpPr>
        <xdr:cNvPr id="15" name="吹き出し: 角を丸めた四角形 1">
          <a:extLst>
            <a:ext uri="{FF2B5EF4-FFF2-40B4-BE49-F238E27FC236}">
              <a16:creationId xmlns:a16="http://schemas.microsoft.com/office/drawing/2014/main" id="{00000000-0008-0000-0F00-00000F000000}"/>
            </a:ext>
          </a:extLst>
        </xdr:cNvPr>
        <xdr:cNvSpPr/>
      </xdr:nvSpPr>
      <xdr:spPr>
        <a:xfrm>
          <a:off x="2733676" y="18935699"/>
          <a:ext cx="876300" cy="1162051"/>
        </a:xfrm>
        <a:prstGeom prst="wedgeRoundRectCallout">
          <a:avLst>
            <a:gd name="adj1" fmla="val -68760"/>
            <a:gd name="adj2" fmla="val -34554"/>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050"/>
            <a:t>統合前（現体制）の役員を記入。</a:t>
          </a:r>
          <a:endParaRPr kumimoji="1" lang="en-US" altLang="ja-JP" sz="1050"/>
        </a:p>
      </xdr:txBody>
    </xdr:sp>
    <xdr:clientData/>
  </xdr:twoCellAnchor>
  <xdr:twoCellAnchor>
    <xdr:from>
      <xdr:col>7</xdr:col>
      <xdr:colOff>352425</xdr:colOff>
      <xdr:row>46</xdr:row>
      <xdr:rowOff>219075</xdr:rowOff>
    </xdr:from>
    <xdr:to>
      <xdr:col>9</xdr:col>
      <xdr:colOff>95250</xdr:colOff>
      <xdr:row>51</xdr:row>
      <xdr:rowOff>1</xdr:rowOff>
    </xdr:to>
    <xdr:sp macro="" textlink="">
      <xdr:nvSpPr>
        <xdr:cNvPr id="16" name="吹き出し: 角を丸めた四角形 1">
          <a:extLst>
            <a:ext uri="{FF2B5EF4-FFF2-40B4-BE49-F238E27FC236}">
              <a16:creationId xmlns:a16="http://schemas.microsoft.com/office/drawing/2014/main" id="{00000000-0008-0000-0F00-000010000000}"/>
            </a:ext>
          </a:extLst>
        </xdr:cNvPr>
        <xdr:cNvSpPr/>
      </xdr:nvSpPr>
      <xdr:spPr>
        <a:xfrm>
          <a:off x="4895850" y="18945225"/>
          <a:ext cx="1209675" cy="1209676"/>
        </a:xfrm>
        <a:prstGeom prst="wedgeRoundRectCallout">
          <a:avLst>
            <a:gd name="adj1" fmla="val -68760"/>
            <a:gd name="adj2" fmla="val -34554"/>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050"/>
            <a:t>統合後の役員を記入。</a:t>
          </a:r>
          <a:endParaRPr kumimoji="1" lang="en-US" altLang="ja-JP" sz="1050"/>
        </a:p>
        <a:p>
          <a:pPr algn="l"/>
          <a:r>
            <a:rPr kumimoji="1" lang="en-US" altLang="ja-JP" sz="1050"/>
            <a:t>※</a:t>
          </a:r>
          <a:r>
            <a:rPr kumimoji="1" lang="ja-JP" altLang="en-US" sz="1050"/>
            <a:t>原則、現体制とは別の人</a:t>
          </a:r>
          <a:endParaRPr kumimoji="1" lang="en-US" altLang="ja-JP" sz="1050"/>
        </a:p>
      </xdr:txBody>
    </xdr:sp>
    <xdr:clientData/>
  </xdr:twoCellAnchor>
  <xdr:twoCellAnchor>
    <xdr:from>
      <xdr:col>12</xdr:col>
      <xdr:colOff>47625</xdr:colOff>
      <xdr:row>46</xdr:row>
      <xdr:rowOff>219075</xdr:rowOff>
    </xdr:from>
    <xdr:to>
      <xdr:col>13</xdr:col>
      <xdr:colOff>523875</xdr:colOff>
      <xdr:row>51</xdr:row>
      <xdr:rowOff>1</xdr:rowOff>
    </xdr:to>
    <xdr:sp macro="" textlink="">
      <xdr:nvSpPr>
        <xdr:cNvPr id="17" name="吹き出し: 角を丸めた四角形 1">
          <a:extLst>
            <a:ext uri="{FF2B5EF4-FFF2-40B4-BE49-F238E27FC236}">
              <a16:creationId xmlns:a16="http://schemas.microsoft.com/office/drawing/2014/main" id="{00000000-0008-0000-0F00-000011000000}"/>
            </a:ext>
          </a:extLst>
        </xdr:cNvPr>
        <xdr:cNvSpPr/>
      </xdr:nvSpPr>
      <xdr:spPr>
        <a:xfrm>
          <a:off x="8258175" y="18945225"/>
          <a:ext cx="1209675" cy="1209676"/>
        </a:xfrm>
        <a:prstGeom prst="wedgeRoundRectCallout">
          <a:avLst>
            <a:gd name="adj1" fmla="val -68760"/>
            <a:gd name="adj2" fmla="val -34554"/>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050"/>
            <a:t>役員を交代する予定の年度を記入。</a:t>
          </a:r>
          <a:endParaRPr kumimoji="1" lang="en-US" altLang="ja-JP" sz="1050"/>
        </a:p>
      </xdr:txBody>
    </xdr:sp>
    <xdr:clientData/>
  </xdr:twoCellAnchor>
  <xdr:twoCellAnchor>
    <xdr:from>
      <xdr:col>5</xdr:col>
      <xdr:colOff>533400</xdr:colOff>
      <xdr:row>52</xdr:row>
      <xdr:rowOff>523875</xdr:rowOff>
    </xdr:from>
    <xdr:to>
      <xdr:col>13</xdr:col>
      <xdr:colOff>685800</xdr:colOff>
      <xdr:row>55</xdr:row>
      <xdr:rowOff>104775</xdr:rowOff>
    </xdr:to>
    <xdr:sp macro="" textlink="">
      <xdr:nvSpPr>
        <xdr:cNvPr id="18" name="吹き出し: 角を丸めた四角形 1">
          <a:extLst>
            <a:ext uri="{FF2B5EF4-FFF2-40B4-BE49-F238E27FC236}">
              <a16:creationId xmlns:a16="http://schemas.microsoft.com/office/drawing/2014/main" id="{00000000-0008-0000-0F00-000012000000}"/>
            </a:ext>
          </a:extLst>
        </xdr:cNvPr>
        <xdr:cNvSpPr/>
      </xdr:nvSpPr>
      <xdr:spPr>
        <a:xfrm>
          <a:off x="3609975" y="20964525"/>
          <a:ext cx="6019800" cy="838200"/>
        </a:xfrm>
        <a:prstGeom prst="wedgeRoundRectCallout">
          <a:avLst>
            <a:gd name="adj1" fmla="val -54755"/>
            <a:gd name="adj2" fmla="val 32183"/>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050"/>
            <a:t>統合後の体制の維持・向上（中山間を長く続けるため方策）について、「役員の継承に向けた取り組み」「構成員や活動参加者の安定的な確保に向けた取り組み」の２項目に分けて詳細に記入。</a:t>
          </a:r>
          <a:endParaRPr kumimoji="1" lang="en-US" altLang="ja-JP" sz="105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57150</xdr:colOff>
      <xdr:row>4</xdr:row>
      <xdr:rowOff>146050</xdr:rowOff>
    </xdr:from>
    <xdr:to>
      <xdr:col>10</xdr:col>
      <xdr:colOff>219075</xdr:colOff>
      <xdr:row>7</xdr:row>
      <xdr:rowOff>158750</xdr:rowOff>
    </xdr:to>
    <xdr:sp macro="" textlink="">
      <xdr:nvSpPr>
        <xdr:cNvPr id="2" name="吹き出し: 角を丸めた四角形 1">
          <a:extLst>
            <a:ext uri="{FF2B5EF4-FFF2-40B4-BE49-F238E27FC236}">
              <a16:creationId xmlns:a16="http://schemas.microsoft.com/office/drawing/2014/main" id="{71691B44-74B1-4164-BA5F-4CDA2B50F16A}"/>
            </a:ext>
          </a:extLst>
        </xdr:cNvPr>
        <xdr:cNvSpPr/>
      </xdr:nvSpPr>
      <xdr:spPr>
        <a:xfrm>
          <a:off x="4600575" y="1165225"/>
          <a:ext cx="2362200" cy="803275"/>
        </a:xfrm>
        <a:prstGeom prst="wedgeRoundRectCallout">
          <a:avLst>
            <a:gd name="adj1" fmla="val -39340"/>
            <a:gd name="adj2" fmla="val 96232"/>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参画する多様な組織を記入。</a:t>
          </a:r>
          <a:endParaRPr kumimoji="1" lang="en-US" altLang="ja-JP" sz="1200"/>
        </a:p>
      </xdr:txBody>
    </xdr:sp>
    <xdr:clientData/>
  </xdr:twoCellAnchor>
  <xdr:twoCellAnchor>
    <xdr:from>
      <xdr:col>10</xdr:col>
      <xdr:colOff>609600</xdr:colOff>
      <xdr:row>5</xdr:row>
      <xdr:rowOff>152400</xdr:rowOff>
    </xdr:from>
    <xdr:to>
      <xdr:col>13</xdr:col>
      <xdr:colOff>577850</xdr:colOff>
      <xdr:row>16</xdr:row>
      <xdr:rowOff>38100</xdr:rowOff>
    </xdr:to>
    <xdr:sp macro="" textlink="">
      <xdr:nvSpPr>
        <xdr:cNvPr id="3" name="吹き出し: 角を丸めた四角形 2">
          <a:extLst>
            <a:ext uri="{FF2B5EF4-FFF2-40B4-BE49-F238E27FC236}">
              <a16:creationId xmlns:a16="http://schemas.microsoft.com/office/drawing/2014/main" id="{D2F5A412-CDCD-4EEA-AD73-5B8362415ADE}"/>
            </a:ext>
          </a:extLst>
        </xdr:cNvPr>
        <xdr:cNvSpPr/>
      </xdr:nvSpPr>
      <xdr:spPr>
        <a:xfrm>
          <a:off x="7353300" y="1428750"/>
          <a:ext cx="2168525" cy="3238500"/>
        </a:xfrm>
        <a:prstGeom prst="wedgeRoundRectCallout">
          <a:avLst>
            <a:gd name="adj1" fmla="val -68759"/>
            <a:gd name="adj2" fmla="val 41991"/>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参画方法について</a:t>
          </a:r>
          <a:endParaRPr kumimoji="1" lang="en-US" altLang="ja-JP" sz="1200"/>
        </a:p>
        <a:p>
          <a:pPr algn="l"/>
          <a:endParaRPr kumimoji="1" lang="en-US" altLang="ja-JP" sz="1200"/>
        </a:p>
        <a:p>
          <a:pPr algn="l"/>
          <a:r>
            <a:rPr kumimoji="1" lang="ja-JP" altLang="en-US" sz="1200" b="1"/>
            <a:t>①集落協定の構成員</a:t>
          </a:r>
          <a:endParaRPr kumimoji="1" lang="en-US" altLang="ja-JP" sz="1200" b="1"/>
        </a:p>
        <a:p>
          <a:pPr algn="l"/>
          <a:r>
            <a:rPr kumimoji="1" lang="ja-JP" altLang="en-US" sz="1200"/>
            <a:t>→協定の一構成員として参画する場合を言います（構成員名簿に組織名を記載）。</a:t>
          </a:r>
          <a:endParaRPr kumimoji="1" lang="en-US" altLang="ja-JP" sz="1200"/>
        </a:p>
        <a:p>
          <a:pPr algn="l"/>
          <a:endParaRPr kumimoji="1" lang="en-US" altLang="ja-JP" sz="1200"/>
        </a:p>
        <a:p>
          <a:pPr algn="l"/>
          <a:r>
            <a:rPr kumimoji="1" lang="ja-JP" altLang="en-US" sz="1200" b="1"/>
            <a:t>②別途協定等を締結</a:t>
          </a:r>
          <a:endParaRPr kumimoji="1" lang="en-US" altLang="ja-JP" sz="1200" b="1"/>
        </a:p>
        <a:p>
          <a:pPr algn="l"/>
          <a:r>
            <a:rPr kumimoji="1" lang="ja-JP" altLang="en-US" sz="1200"/>
            <a:t>→構成員にはならないが、別途覚書等を締結し、参画する場合を言います。</a:t>
          </a:r>
          <a:endParaRPr kumimoji="1" lang="en-US" altLang="ja-JP" sz="1200"/>
        </a:p>
      </xdr:txBody>
    </xdr:sp>
    <xdr:clientData/>
  </xdr:twoCellAnchor>
  <xdr:twoCellAnchor>
    <xdr:from>
      <xdr:col>10</xdr:col>
      <xdr:colOff>177800</xdr:colOff>
      <xdr:row>16</xdr:row>
      <xdr:rowOff>577850</xdr:rowOff>
    </xdr:from>
    <xdr:to>
      <xdr:col>13</xdr:col>
      <xdr:colOff>146050</xdr:colOff>
      <xdr:row>20</xdr:row>
      <xdr:rowOff>139700</xdr:rowOff>
    </xdr:to>
    <xdr:sp macro="" textlink="">
      <xdr:nvSpPr>
        <xdr:cNvPr id="4" name="吹き出し: 角を丸めた四角形 3">
          <a:extLst>
            <a:ext uri="{FF2B5EF4-FFF2-40B4-BE49-F238E27FC236}">
              <a16:creationId xmlns:a16="http://schemas.microsoft.com/office/drawing/2014/main" id="{10AC9E9A-4F94-4B4B-A0D7-9DF5C8C839C5}"/>
            </a:ext>
          </a:extLst>
        </xdr:cNvPr>
        <xdr:cNvSpPr/>
      </xdr:nvSpPr>
      <xdr:spPr>
        <a:xfrm>
          <a:off x="6369050" y="5238750"/>
          <a:ext cx="1987550" cy="1193800"/>
        </a:xfrm>
        <a:prstGeom prst="wedgeRoundRectCallout">
          <a:avLst>
            <a:gd name="adj1" fmla="val -68759"/>
            <a:gd name="adj2" fmla="val 41991"/>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構成員の</a:t>
          </a:r>
          <a:r>
            <a:rPr kumimoji="1" lang="en-US" altLang="ja-JP" sz="1200"/>
            <a:t>10</a:t>
          </a:r>
          <a:r>
            <a:rPr kumimoji="1" lang="ja-JP" altLang="en-US" sz="1200"/>
            <a:t>％以上が非農業者の場合は、計算して入力。</a:t>
          </a:r>
          <a:endParaRPr kumimoji="1" lang="en-US" altLang="ja-JP" sz="1200"/>
        </a:p>
      </xdr:txBody>
    </xdr:sp>
    <xdr:clientData/>
  </xdr:twoCellAnchor>
  <xdr:twoCellAnchor>
    <xdr:from>
      <xdr:col>7</xdr:col>
      <xdr:colOff>196850</xdr:colOff>
      <xdr:row>33</xdr:row>
      <xdr:rowOff>698500</xdr:rowOff>
    </xdr:from>
    <xdr:to>
      <xdr:col>11</xdr:col>
      <xdr:colOff>457200</xdr:colOff>
      <xdr:row>36</xdr:row>
      <xdr:rowOff>140970</xdr:rowOff>
    </xdr:to>
    <xdr:sp macro="" textlink="">
      <xdr:nvSpPr>
        <xdr:cNvPr id="5" name="吹き出し: 角を丸めた四角形 1">
          <a:extLst>
            <a:ext uri="{FF2B5EF4-FFF2-40B4-BE49-F238E27FC236}">
              <a16:creationId xmlns:a16="http://schemas.microsoft.com/office/drawing/2014/main" id="{E9725208-525F-41A4-B28A-97CB7C67175F}"/>
            </a:ext>
          </a:extLst>
        </xdr:cNvPr>
        <xdr:cNvSpPr/>
      </xdr:nvSpPr>
      <xdr:spPr>
        <a:xfrm>
          <a:off x="4740275" y="11680825"/>
          <a:ext cx="3194050" cy="1147445"/>
        </a:xfrm>
        <a:prstGeom prst="wedgeRoundRectCallout">
          <a:avLst>
            <a:gd name="adj1" fmla="val -56496"/>
            <a:gd name="adj2" fmla="val -48084"/>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・統合によって解決する課題を①～⑤から選択（複数選択可）</a:t>
          </a:r>
          <a:endParaRPr kumimoji="1" lang="en-US" altLang="ja-JP" sz="1200"/>
        </a:p>
        <a:p>
          <a:pPr algn="l"/>
          <a:r>
            <a:rPr kumimoji="1" lang="ja-JP" altLang="en-US" sz="1200"/>
            <a:t>・選択した課題について、協定の現状を踏まえつつ、詳細を記入。</a:t>
          </a:r>
          <a:endParaRPr kumimoji="1" lang="en-US" altLang="ja-JP" sz="1200"/>
        </a:p>
      </xdr:txBody>
    </xdr:sp>
    <xdr:clientData/>
  </xdr:twoCellAnchor>
  <xdr:twoCellAnchor>
    <xdr:from>
      <xdr:col>6</xdr:col>
      <xdr:colOff>527050</xdr:colOff>
      <xdr:row>43</xdr:row>
      <xdr:rowOff>2609850</xdr:rowOff>
    </xdr:from>
    <xdr:to>
      <xdr:col>13</xdr:col>
      <xdr:colOff>482600</xdr:colOff>
      <xdr:row>44</xdr:row>
      <xdr:rowOff>139700</xdr:rowOff>
    </xdr:to>
    <xdr:sp macro="" textlink="">
      <xdr:nvSpPr>
        <xdr:cNvPr id="6" name="吹き出し: 角を丸めた四角形 1">
          <a:extLst>
            <a:ext uri="{FF2B5EF4-FFF2-40B4-BE49-F238E27FC236}">
              <a16:creationId xmlns:a16="http://schemas.microsoft.com/office/drawing/2014/main" id="{0041B9EF-A1BA-4881-913E-B94C90AD1E2E}"/>
            </a:ext>
          </a:extLst>
        </xdr:cNvPr>
        <xdr:cNvSpPr/>
      </xdr:nvSpPr>
      <xdr:spPr>
        <a:xfrm>
          <a:off x="4025900" y="17468850"/>
          <a:ext cx="4667250" cy="711200"/>
        </a:xfrm>
        <a:prstGeom prst="wedgeRoundRectCallout">
          <a:avLst>
            <a:gd name="adj1" fmla="val -56496"/>
            <a:gd name="adj2" fmla="val -48084"/>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200"/>
            <a:t>・実施する活動を①～⑧から選択（複数選択可）</a:t>
          </a:r>
          <a:endParaRPr kumimoji="1" lang="en-US" altLang="ja-JP" sz="1200"/>
        </a:p>
        <a:p>
          <a:pPr algn="l"/>
          <a:r>
            <a:rPr kumimoji="1" lang="ja-JP" altLang="en-US" sz="1200"/>
            <a:t>・選択した活動について、協定の現状を踏まえつつ、詳細を記入。</a:t>
          </a:r>
          <a:endParaRPr kumimoji="1" lang="en-US" altLang="ja-JP" sz="12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a16="http://schemas.microsoft.com/office/drawing/2014/main" id="{00000000-0008-0000-1700-000002000000}"/>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a16="http://schemas.microsoft.com/office/drawing/2014/main" id="{00000000-0008-0000-1700-000003000000}"/>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a16="http://schemas.microsoft.com/office/drawing/2014/main" id="{00000000-0008-0000-1700-000004000000}"/>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id="{00000000-0008-0000-1700-000005000000}"/>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id="{00000000-0008-0000-1700-000006000000}"/>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A00-000003000000}"/>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a16="http://schemas.microsoft.com/office/drawing/2014/main" id="{00000000-0008-0000-1A00-000005000000}"/>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00000000-0008-0000-1A00-000006000000}"/>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A00-000007000000}"/>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id="{00000000-0008-0000-2000-000003000000}"/>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IX65"/>
  <sheetViews>
    <sheetView showGridLines="0" tabSelected="1" view="pageBreakPreview" topLeftCell="A13" zoomScale="116" zoomScaleNormal="100" zoomScaleSheetLayoutView="100" workbookViewId="0">
      <selection activeCell="S8" sqref="S8"/>
    </sheetView>
  </sheetViews>
  <sheetFormatPr defaultColWidth="9" defaultRowHeight="18.75" x14ac:dyDescent="0.15"/>
  <cols>
    <col min="1" max="2" width="2.75" style="1" customWidth="1"/>
    <col min="3" max="3" width="11" style="1" customWidth="1"/>
    <col min="4" max="4" width="17.625" style="1" customWidth="1"/>
    <col min="5" max="5" width="21.375" style="1" customWidth="1"/>
    <col min="6" max="6" width="14" style="1065" customWidth="1"/>
    <col min="7" max="7" width="37.125" style="1076" customWidth="1"/>
    <col min="8" max="8" width="2.625" style="1" customWidth="1"/>
    <col min="9" max="9" width="5.75" style="58" customWidth="1"/>
    <col min="10" max="258" width="9" style="58"/>
    <col min="259" max="16384" width="9" style="1"/>
  </cols>
  <sheetData>
    <row r="1" spans="1:258" ht="43.5" customHeight="1" x14ac:dyDescent="0.15">
      <c r="A1" s="977" t="s">
        <v>2340</v>
      </c>
    </row>
    <row r="2" spans="1:258" ht="24" customHeight="1" thickBot="1" x14ac:dyDescent="0.2">
      <c r="A2" s="979" t="s">
        <v>41</v>
      </c>
      <c r="B2" s="979"/>
      <c r="C2" s="979"/>
      <c r="D2" s="980"/>
      <c r="E2" s="980"/>
      <c r="F2" s="1066"/>
      <c r="G2" s="1077"/>
      <c r="H2" s="980"/>
    </row>
    <row r="3" spans="1:258" ht="21" customHeight="1" x14ac:dyDescent="0.15">
      <c r="B3" s="16" t="s">
        <v>42</v>
      </c>
      <c r="C3" s="17"/>
      <c r="D3" s="981" t="s">
        <v>2349</v>
      </c>
      <c r="E3" s="1125" t="s">
        <v>45</v>
      </c>
      <c r="F3" s="1125"/>
      <c r="G3" s="1126"/>
    </row>
    <row r="4" spans="1:258" ht="21" customHeight="1" x14ac:dyDescent="0.15">
      <c r="B4" s="18" t="s">
        <v>43</v>
      </c>
      <c r="C4" s="19"/>
      <c r="D4" s="982" t="s">
        <v>2350</v>
      </c>
      <c r="E4" s="1127" t="s">
        <v>46</v>
      </c>
      <c r="F4" s="1127"/>
      <c r="G4" s="1128"/>
    </row>
    <row r="5" spans="1:258" ht="21" customHeight="1" x14ac:dyDescent="0.15">
      <c r="B5" s="18" t="s">
        <v>2341</v>
      </c>
      <c r="C5" s="19"/>
      <c r="D5" s="1144" t="s">
        <v>2351</v>
      </c>
      <c r="E5" s="1144"/>
      <c r="F5" s="1144"/>
      <c r="G5" s="1145"/>
    </row>
    <row r="6" spans="1:258" ht="21" customHeight="1" x14ac:dyDescent="0.15">
      <c r="B6" s="18" t="s">
        <v>44</v>
      </c>
      <c r="C6" s="19"/>
      <c r="D6" s="983" t="s">
        <v>2352</v>
      </c>
      <c r="G6" s="1078"/>
    </row>
    <row r="7" spans="1:258" ht="21" customHeight="1" thickBot="1" x14ac:dyDescent="0.2">
      <c r="B7" s="20" t="s">
        <v>69</v>
      </c>
      <c r="C7" s="21"/>
      <c r="D7" s="1146" t="s">
        <v>2353</v>
      </c>
      <c r="E7" s="1146"/>
      <c r="F7" s="1146"/>
      <c r="G7" s="1147"/>
    </row>
    <row r="8" spans="1:258" ht="6.75" customHeight="1" x14ac:dyDescent="0.15"/>
    <row r="9" spans="1:258" ht="24" customHeight="1" x14ac:dyDescent="0.15">
      <c r="A9" s="14" t="s">
        <v>192</v>
      </c>
      <c r="B9" s="15"/>
      <c r="C9" s="15"/>
      <c r="D9" s="15"/>
      <c r="E9" s="15"/>
      <c r="F9" s="1067"/>
      <c r="G9" s="1079"/>
      <c r="H9" s="15"/>
      <c r="K9" s="1106"/>
      <c r="L9" s="1106"/>
      <c r="M9" s="1106"/>
    </row>
    <row r="10" spans="1:258" ht="45.75" customHeight="1" x14ac:dyDescent="0.15">
      <c r="B10" s="1150" t="s">
        <v>2267</v>
      </c>
      <c r="C10" s="1150"/>
      <c r="D10" s="1150"/>
      <c r="E10" s="1150"/>
      <c r="F10" s="1150"/>
      <c r="G10" s="1150"/>
    </row>
    <row r="11" spans="1:258" ht="21.75" customHeight="1" x14ac:dyDescent="0.15">
      <c r="A11" s="59"/>
      <c r="B11" s="1148" t="s">
        <v>2218</v>
      </c>
      <c r="C11" s="1149"/>
      <c r="D11" s="1149"/>
      <c r="E11" s="1149"/>
      <c r="F11" s="1149"/>
      <c r="G11" s="1149"/>
      <c r="H11" s="58"/>
    </row>
    <row r="12" spans="1:258" ht="7.5" customHeight="1" x14ac:dyDescent="0.15">
      <c r="A12" s="786"/>
      <c r="B12" s="787"/>
      <c r="C12" s="788"/>
      <c r="D12" s="788"/>
      <c r="E12" s="788"/>
      <c r="F12" s="1068"/>
      <c r="G12" s="1080"/>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23.25" customHeight="1" x14ac:dyDescent="0.15">
      <c r="B13" s="1113" t="s">
        <v>2304</v>
      </c>
      <c r="C13" s="1113"/>
      <c r="D13" s="1113"/>
      <c r="E13" s="1113"/>
      <c r="F13" s="1113"/>
      <c r="G13" s="1113"/>
    </row>
    <row r="14" spans="1:258" ht="23.25" customHeight="1" x14ac:dyDescent="0.15">
      <c r="B14" s="1115" t="s">
        <v>2305</v>
      </c>
      <c r="C14" s="1115"/>
      <c r="D14" s="1115"/>
      <c r="E14" s="1115"/>
      <c r="F14" s="1115"/>
      <c r="G14" s="1115"/>
    </row>
    <row r="15" spans="1:258" ht="36" customHeight="1" x14ac:dyDescent="0.15">
      <c r="B15" s="1114" t="s">
        <v>2303</v>
      </c>
      <c r="C15" s="1114"/>
      <c r="D15" s="1114"/>
      <c r="E15" s="1114"/>
      <c r="F15" s="1114"/>
      <c r="G15" s="1114"/>
      <c r="J15" s="1106"/>
      <c r="K15" s="1106"/>
      <c r="L15" s="1106"/>
      <c r="M15" s="1106"/>
      <c r="N15" s="1106"/>
      <c r="O15" s="1106"/>
      <c r="P15" s="1106"/>
      <c r="Q15" s="1106"/>
      <c r="R15" s="1106"/>
      <c r="S15" s="1106"/>
      <c r="T15" s="1106"/>
      <c r="U15" s="1106"/>
      <c r="V15" s="1106"/>
      <c r="W15" s="1106"/>
      <c r="X15" s="1106"/>
      <c r="Y15" s="1106"/>
      <c r="Z15" s="1106"/>
      <c r="AA15" s="1106"/>
      <c r="AB15" s="1106"/>
      <c r="AC15" s="1106"/>
      <c r="AD15" s="1106"/>
      <c r="AE15" s="1106"/>
      <c r="AF15" s="1106"/>
      <c r="AG15" s="1106"/>
      <c r="AH15" s="1106"/>
      <c r="AI15" s="1106"/>
      <c r="AJ15" s="1106"/>
      <c r="AK15" s="1106"/>
      <c r="AL15" s="1106"/>
      <c r="AM15" s="1106"/>
      <c r="AN15" s="1106"/>
      <c r="AO15" s="1106"/>
      <c r="AP15" s="1106"/>
      <c r="AQ15" s="1106"/>
      <c r="AR15" s="1106"/>
      <c r="AS15" s="1106"/>
      <c r="AT15" s="1106"/>
      <c r="AU15" s="1106"/>
      <c r="AV15" s="1106"/>
      <c r="AW15" s="1106"/>
      <c r="AX15" s="1106"/>
      <c r="AY15" s="1106"/>
      <c r="AZ15" s="1106"/>
      <c r="BA15" s="1106"/>
      <c r="BB15" s="1106"/>
      <c r="BC15" s="1106"/>
      <c r="BD15" s="1106"/>
      <c r="BE15" s="1106"/>
      <c r="BF15" s="1106"/>
      <c r="BG15" s="1106"/>
      <c r="BH15" s="1106"/>
      <c r="BI15" s="1106"/>
      <c r="BJ15" s="1106"/>
      <c r="BK15" s="1106"/>
      <c r="BL15" s="1106"/>
      <c r="BM15" s="1106"/>
      <c r="BN15" s="1106"/>
      <c r="BO15" s="1106"/>
      <c r="BP15" s="1106"/>
      <c r="BQ15" s="1106"/>
      <c r="BR15" s="1106"/>
      <c r="BS15" s="1106"/>
      <c r="BT15" s="1106"/>
      <c r="BU15" s="1106"/>
      <c r="BV15" s="1106"/>
      <c r="BW15" s="1106"/>
      <c r="BX15" s="1106"/>
      <c r="BY15" s="1106"/>
      <c r="BZ15" s="1106"/>
      <c r="CA15" s="1106"/>
      <c r="CB15" s="1106"/>
      <c r="CC15" s="1106"/>
      <c r="CD15" s="1106"/>
      <c r="CE15" s="1106"/>
      <c r="CF15" s="1106"/>
      <c r="CG15" s="1106"/>
      <c r="CH15" s="1106"/>
      <c r="CI15" s="1106"/>
      <c r="CJ15" s="1106"/>
      <c r="CK15" s="1106"/>
      <c r="CL15" s="1106"/>
      <c r="CM15" s="1106"/>
      <c r="CN15" s="1106"/>
      <c r="CO15" s="1106"/>
      <c r="CP15" s="1106"/>
      <c r="CQ15" s="1106"/>
      <c r="CR15" s="1106"/>
      <c r="CS15" s="1106"/>
      <c r="CT15" s="1106"/>
      <c r="CU15" s="1106"/>
      <c r="CV15" s="1106"/>
      <c r="CW15" s="1106"/>
      <c r="CX15" s="1106"/>
      <c r="CY15" s="1106"/>
      <c r="CZ15" s="1106"/>
      <c r="DA15" s="1106"/>
      <c r="DB15" s="1106"/>
      <c r="DC15" s="1106"/>
      <c r="DD15" s="1106"/>
      <c r="DE15" s="1106"/>
      <c r="DF15" s="1106"/>
      <c r="DG15" s="1106"/>
      <c r="DH15" s="1106"/>
      <c r="DI15" s="1106"/>
      <c r="DJ15" s="1106"/>
      <c r="DK15" s="1106"/>
      <c r="DL15" s="1106"/>
      <c r="DM15" s="1106"/>
      <c r="DN15" s="1106"/>
      <c r="DO15" s="1106"/>
      <c r="DP15" s="1106"/>
      <c r="DQ15" s="1106"/>
      <c r="DR15" s="1106"/>
      <c r="DS15" s="1106"/>
      <c r="DT15" s="1106"/>
      <c r="DU15" s="1106"/>
      <c r="DV15" s="1106"/>
      <c r="DW15" s="1106"/>
      <c r="DX15" s="1106"/>
      <c r="DY15" s="1106"/>
      <c r="DZ15" s="1106"/>
      <c r="EA15" s="1106"/>
      <c r="EB15" s="1106"/>
      <c r="EC15" s="1106"/>
      <c r="ED15" s="1106"/>
      <c r="EE15" s="1106"/>
      <c r="EF15" s="1106"/>
      <c r="EG15" s="1106"/>
      <c r="EH15" s="1106"/>
      <c r="EI15" s="1106"/>
      <c r="EJ15" s="1106"/>
      <c r="EK15" s="1106"/>
      <c r="EL15" s="1106"/>
      <c r="EM15" s="1106"/>
      <c r="EN15" s="1106"/>
      <c r="EO15" s="1106"/>
      <c r="EP15" s="1106"/>
      <c r="EQ15" s="1106"/>
      <c r="ER15" s="1106"/>
      <c r="ES15" s="1106"/>
      <c r="ET15" s="1106"/>
      <c r="EU15" s="1106"/>
      <c r="EV15" s="1106"/>
      <c r="EW15" s="1106"/>
      <c r="EX15" s="1106"/>
      <c r="EY15" s="1106"/>
      <c r="EZ15" s="1106"/>
      <c r="FA15" s="1106"/>
      <c r="FB15" s="1106"/>
      <c r="FC15" s="1106"/>
      <c r="FD15" s="1106"/>
      <c r="FE15" s="1106"/>
      <c r="FF15" s="1106"/>
      <c r="FG15" s="1106"/>
      <c r="FH15" s="1106"/>
      <c r="FI15" s="1106"/>
      <c r="FJ15" s="1106"/>
      <c r="FK15" s="1106"/>
      <c r="FL15" s="1106"/>
      <c r="FM15" s="1106"/>
      <c r="FN15" s="1106"/>
      <c r="FO15" s="1106"/>
      <c r="FP15" s="1106"/>
      <c r="FQ15" s="1106"/>
      <c r="FR15" s="1106"/>
      <c r="FS15" s="1106"/>
      <c r="FT15" s="1106"/>
      <c r="FU15" s="1106"/>
      <c r="FV15" s="1106"/>
      <c r="FW15" s="1106"/>
      <c r="FX15" s="1106"/>
      <c r="FY15" s="1106"/>
      <c r="FZ15" s="1106"/>
      <c r="GA15" s="1106"/>
      <c r="GB15" s="1106"/>
      <c r="GC15" s="1106"/>
      <c r="GD15" s="1106"/>
      <c r="GE15" s="1106"/>
      <c r="GF15" s="1106"/>
      <c r="GG15" s="1106"/>
      <c r="GH15" s="1106"/>
      <c r="GI15" s="1106"/>
      <c r="GJ15" s="1106"/>
      <c r="GK15" s="1106"/>
      <c r="GL15" s="1106"/>
      <c r="GM15" s="1106"/>
      <c r="GN15" s="1106"/>
      <c r="GO15" s="1106"/>
      <c r="GP15" s="1106"/>
      <c r="GQ15" s="1106"/>
      <c r="GR15" s="1106"/>
      <c r="GS15" s="1106"/>
      <c r="GT15" s="1106"/>
      <c r="GU15" s="1106"/>
      <c r="GV15" s="1106"/>
      <c r="GW15" s="1106"/>
      <c r="GX15" s="1106"/>
      <c r="GY15" s="1106"/>
      <c r="GZ15" s="1106"/>
      <c r="HA15" s="1106"/>
      <c r="HB15" s="1106"/>
      <c r="HC15" s="1106"/>
      <c r="HD15" s="1106"/>
      <c r="HE15" s="1106"/>
      <c r="HF15" s="1106"/>
      <c r="HG15" s="1106"/>
      <c r="HH15" s="1106"/>
      <c r="HI15" s="1106"/>
      <c r="HJ15" s="1106"/>
      <c r="HK15" s="1106"/>
      <c r="HL15" s="1106"/>
      <c r="HM15" s="1106"/>
      <c r="HN15" s="1106"/>
      <c r="HO15" s="1106"/>
      <c r="HP15" s="1106"/>
      <c r="HQ15" s="1106"/>
      <c r="HR15" s="1106"/>
      <c r="HS15" s="1106"/>
      <c r="HT15" s="1106"/>
      <c r="HU15" s="1106"/>
      <c r="HV15" s="1106"/>
      <c r="HW15" s="1106"/>
      <c r="HX15" s="1106"/>
      <c r="HY15" s="1106"/>
      <c r="HZ15" s="1106"/>
      <c r="IA15" s="1106"/>
      <c r="IB15" s="1106"/>
      <c r="IC15" s="1106"/>
      <c r="ID15" s="1106"/>
      <c r="IE15" s="1106"/>
      <c r="IF15" s="1106"/>
      <c r="IG15" s="1106"/>
      <c r="IH15" s="1106"/>
      <c r="II15" s="1106"/>
      <c r="IJ15" s="1106"/>
      <c r="IK15" s="1106"/>
      <c r="IL15" s="1106"/>
      <c r="IM15" s="1106"/>
      <c r="IN15" s="1106"/>
      <c r="IO15" s="1106"/>
      <c r="IP15" s="1106"/>
      <c r="IQ15" s="1106"/>
      <c r="IR15" s="1106"/>
      <c r="IS15" s="1106"/>
      <c r="IT15" s="1106"/>
      <c r="IU15" s="1106"/>
      <c r="IV15" s="1106"/>
      <c r="IW15" s="1106"/>
      <c r="IX15" s="1106"/>
    </row>
    <row r="16" spans="1:258" ht="18.75" customHeight="1" x14ac:dyDescent="0.15">
      <c r="B16" s="1151" t="s">
        <v>361</v>
      </c>
      <c r="C16" s="1151"/>
      <c r="D16" s="1151"/>
      <c r="E16" s="1151"/>
      <c r="F16" s="1151"/>
      <c r="G16" s="1151"/>
    </row>
    <row r="17" spans="1:258" ht="30" customHeight="1" x14ac:dyDescent="0.15">
      <c r="B17" s="1150" t="s">
        <v>55</v>
      </c>
      <c r="C17" s="1150"/>
      <c r="D17" s="1150"/>
      <c r="E17" s="1150"/>
      <c r="F17" s="1150"/>
      <c r="G17" s="1150"/>
      <c r="J17" s="1106"/>
      <c r="K17" s="1106"/>
      <c r="L17" s="1106"/>
      <c r="M17" s="1106"/>
      <c r="N17" s="1106"/>
      <c r="O17" s="1106"/>
      <c r="P17" s="1106"/>
      <c r="Q17" s="1106"/>
      <c r="R17" s="1106"/>
      <c r="S17" s="1106"/>
      <c r="T17" s="1106"/>
      <c r="U17" s="1106"/>
      <c r="V17" s="1106"/>
      <c r="W17" s="1106"/>
      <c r="X17" s="1106"/>
      <c r="Y17" s="1106"/>
      <c r="Z17" s="1106"/>
      <c r="AA17" s="1106"/>
      <c r="AB17" s="1106"/>
      <c r="AC17" s="1106"/>
      <c r="AD17" s="1106"/>
      <c r="AE17" s="1106"/>
      <c r="AF17" s="1106"/>
      <c r="AG17" s="1106"/>
      <c r="AH17" s="1106"/>
      <c r="AI17" s="1106"/>
      <c r="AJ17" s="1106"/>
      <c r="AK17" s="1106"/>
      <c r="AL17" s="1106"/>
      <c r="AM17" s="1106"/>
      <c r="AN17" s="1106"/>
      <c r="AO17" s="1106"/>
      <c r="AP17" s="1106"/>
      <c r="AQ17" s="1106"/>
      <c r="AR17" s="1106"/>
      <c r="AS17" s="1106"/>
      <c r="AT17" s="1106"/>
      <c r="AU17" s="1106"/>
      <c r="AV17" s="1106"/>
      <c r="AW17" s="1106"/>
      <c r="AX17" s="1106"/>
      <c r="AY17" s="1106"/>
      <c r="AZ17" s="1106"/>
      <c r="BA17" s="1106"/>
      <c r="BB17" s="1106"/>
      <c r="BC17" s="1106"/>
      <c r="BD17" s="1106"/>
      <c r="BE17" s="1106"/>
      <c r="BF17" s="1106"/>
      <c r="BG17" s="1106"/>
      <c r="BH17" s="1106"/>
      <c r="BI17" s="1106"/>
      <c r="BJ17" s="1106"/>
      <c r="BK17" s="1106"/>
      <c r="BL17" s="1106"/>
      <c r="BM17" s="1106"/>
      <c r="BN17" s="1106"/>
      <c r="BO17" s="1106"/>
      <c r="BP17" s="1106"/>
      <c r="BQ17" s="1106"/>
      <c r="BR17" s="1106"/>
      <c r="BS17" s="1106"/>
      <c r="BT17" s="1106"/>
      <c r="BU17" s="1106"/>
      <c r="BV17" s="1106"/>
      <c r="BW17" s="1106"/>
      <c r="BX17" s="1106"/>
      <c r="BY17" s="1106"/>
      <c r="BZ17" s="1106"/>
      <c r="CA17" s="1106"/>
      <c r="CB17" s="1106"/>
      <c r="CC17" s="1106"/>
      <c r="CD17" s="1106"/>
      <c r="CE17" s="1106"/>
      <c r="CF17" s="1106"/>
      <c r="CG17" s="1106"/>
      <c r="CH17" s="1106"/>
      <c r="CI17" s="1106"/>
      <c r="CJ17" s="1106"/>
      <c r="CK17" s="1106"/>
      <c r="CL17" s="1106"/>
      <c r="CM17" s="1106"/>
      <c r="CN17" s="1106"/>
      <c r="CO17" s="1106"/>
      <c r="CP17" s="1106"/>
      <c r="CQ17" s="1106"/>
      <c r="CR17" s="1106"/>
      <c r="CS17" s="1106"/>
      <c r="CT17" s="1106"/>
      <c r="CU17" s="1106"/>
      <c r="CV17" s="1106"/>
      <c r="CW17" s="1106"/>
      <c r="CX17" s="1106"/>
      <c r="CY17" s="1106"/>
      <c r="CZ17" s="1106"/>
      <c r="DA17" s="1106"/>
      <c r="DB17" s="1106"/>
      <c r="DC17" s="1106"/>
      <c r="DD17" s="1106"/>
      <c r="DE17" s="1106"/>
      <c r="DF17" s="1106"/>
      <c r="DG17" s="1106"/>
      <c r="DH17" s="1106"/>
      <c r="DI17" s="1106"/>
      <c r="DJ17" s="1106"/>
      <c r="DK17" s="1106"/>
      <c r="DL17" s="1106"/>
      <c r="DM17" s="1106"/>
      <c r="DN17" s="1106"/>
      <c r="DO17" s="1106"/>
      <c r="DP17" s="1106"/>
      <c r="DQ17" s="1106"/>
      <c r="DR17" s="1106"/>
      <c r="DS17" s="1106"/>
      <c r="DT17" s="1106"/>
      <c r="DU17" s="1106"/>
      <c r="DV17" s="1106"/>
      <c r="DW17" s="1106"/>
      <c r="DX17" s="1106"/>
      <c r="DY17" s="1106"/>
      <c r="DZ17" s="1106"/>
      <c r="EA17" s="1106"/>
      <c r="EB17" s="1106"/>
      <c r="EC17" s="1106"/>
      <c r="ED17" s="1106"/>
      <c r="EE17" s="1106"/>
      <c r="EF17" s="1106"/>
      <c r="EG17" s="1106"/>
      <c r="EH17" s="1106"/>
      <c r="EI17" s="1106"/>
      <c r="EJ17" s="1106"/>
      <c r="EK17" s="1106"/>
      <c r="EL17" s="1106"/>
      <c r="EM17" s="1106"/>
      <c r="EN17" s="1106"/>
      <c r="EO17" s="1106"/>
      <c r="EP17" s="1106"/>
      <c r="EQ17" s="1106"/>
      <c r="ER17" s="1106"/>
      <c r="ES17" s="1106"/>
      <c r="ET17" s="1106"/>
      <c r="EU17" s="1106"/>
      <c r="EV17" s="1106"/>
      <c r="EW17" s="1106"/>
      <c r="EX17" s="1106"/>
      <c r="EY17" s="1106"/>
      <c r="EZ17" s="1106"/>
      <c r="FA17" s="1106"/>
      <c r="FB17" s="1106"/>
      <c r="FC17" s="1106"/>
      <c r="FD17" s="1106"/>
      <c r="FE17" s="1106"/>
      <c r="FF17" s="1106"/>
      <c r="FG17" s="1106"/>
      <c r="FH17" s="1106"/>
      <c r="FI17" s="1106"/>
      <c r="FJ17" s="1106"/>
      <c r="FK17" s="1106"/>
      <c r="FL17" s="1106"/>
      <c r="FM17" s="1106"/>
      <c r="FN17" s="1106"/>
      <c r="FO17" s="1106"/>
      <c r="FP17" s="1106"/>
      <c r="FQ17" s="1106"/>
      <c r="FR17" s="1106"/>
      <c r="FS17" s="1106"/>
      <c r="FT17" s="1106"/>
      <c r="FU17" s="1106"/>
      <c r="FV17" s="1106"/>
      <c r="FW17" s="1106"/>
      <c r="FX17" s="1106"/>
      <c r="FY17" s="1106"/>
      <c r="FZ17" s="1106"/>
      <c r="GA17" s="1106"/>
      <c r="GB17" s="1106"/>
      <c r="GC17" s="1106"/>
      <c r="GD17" s="1106"/>
      <c r="GE17" s="1106"/>
      <c r="GF17" s="1106"/>
      <c r="GG17" s="1106"/>
      <c r="GH17" s="1106"/>
      <c r="GI17" s="1106"/>
      <c r="GJ17" s="1106"/>
      <c r="GK17" s="1106"/>
      <c r="GL17" s="1106"/>
      <c r="GM17" s="1106"/>
      <c r="GN17" s="1106"/>
      <c r="GO17" s="1106"/>
      <c r="GP17" s="1106"/>
      <c r="GQ17" s="1106"/>
      <c r="GR17" s="1106"/>
      <c r="GS17" s="1106"/>
      <c r="GT17" s="1106"/>
      <c r="GU17" s="1106"/>
      <c r="GV17" s="1106"/>
      <c r="GW17" s="1106"/>
      <c r="GX17" s="1106"/>
      <c r="GY17" s="1106"/>
      <c r="GZ17" s="1106"/>
      <c r="HA17" s="1106"/>
      <c r="HB17" s="1106"/>
      <c r="HC17" s="1106"/>
      <c r="HD17" s="1106"/>
      <c r="HE17" s="1106"/>
      <c r="HF17" s="1106"/>
      <c r="HG17" s="1106"/>
      <c r="HH17" s="1106"/>
      <c r="HI17" s="1106"/>
      <c r="HJ17" s="1106"/>
      <c r="HK17" s="1106"/>
      <c r="HL17" s="1106"/>
      <c r="HM17" s="1106"/>
      <c r="HN17" s="1106"/>
      <c r="HO17" s="1106"/>
      <c r="HP17" s="1106"/>
      <c r="HQ17" s="1106"/>
      <c r="HR17" s="1106"/>
      <c r="HS17" s="1106"/>
      <c r="HT17" s="1106"/>
      <c r="HU17" s="1106"/>
      <c r="HV17" s="1106"/>
      <c r="HW17" s="1106"/>
      <c r="HX17" s="1106"/>
      <c r="HY17" s="1106"/>
      <c r="HZ17" s="1106"/>
      <c r="IA17" s="1106"/>
      <c r="IB17" s="1106"/>
      <c r="IC17" s="1106"/>
      <c r="ID17" s="1106"/>
      <c r="IE17" s="1106"/>
      <c r="IF17" s="1106"/>
      <c r="IG17" s="1106"/>
      <c r="IH17" s="1106"/>
      <c r="II17" s="1106"/>
      <c r="IJ17" s="1106"/>
      <c r="IK17" s="1106"/>
      <c r="IL17" s="1106"/>
      <c r="IM17" s="1106"/>
      <c r="IN17" s="1106"/>
      <c r="IO17" s="1106"/>
      <c r="IP17" s="1106"/>
      <c r="IQ17" s="1106"/>
      <c r="IR17" s="1106"/>
      <c r="IS17" s="1106"/>
      <c r="IT17" s="1106"/>
      <c r="IU17" s="1106"/>
      <c r="IV17" s="1106"/>
      <c r="IW17" s="1106"/>
      <c r="IX17" s="1106"/>
    </row>
    <row r="18" spans="1:258" ht="21" customHeight="1" x14ac:dyDescent="0.15">
      <c r="B18" s="1143" t="s">
        <v>773</v>
      </c>
      <c r="C18" s="1143"/>
      <c r="D18" s="1143"/>
      <c r="E18" s="1143"/>
      <c r="F18" s="1143"/>
      <c r="G18" s="1143"/>
    </row>
    <row r="19" spans="1:258" ht="9.75" customHeight="1" x14ac:dyDescent="0.15"/>
    <row r="20" spans="1:258" ht="23.25" customHeight="1" x14ac:dyDescent="0.15">
      <c r="A20" s="14" t="s">
        <v>38</v>
      </c>
      <c r="B20" s="14"/>
      <c r="C20" s="15"/>
      <c r="D20" s="14"/>
      <c r="E20" s="14"/>
      <c r="F20" s="1067"/>
      <c r="G20" s="1081"/>
      <c r="H20" s="15"/>
      <c r="J20" s="1106"/>
      <c r="K20" s="1106"/>
      <c r="L20" s="1106"/>
      <c r="M20" s="1106"/>
      <c r="N20" s="1106"/>
      <c r="O20" s="1106"/>
      <c r="P20" s="1106"/>
      <c r="Q20" s="1106"/>
      <c r="R20" s="1106"/>
      <c r="S20" s="1106"/>
      <c r="T20" s="1106"/>
      <c r="U20" s="1106"/>
      <c r="V20" s="1106"/>
      <c r="W20" s="1106"/>
      <c r="X20" s="1106"/>
      <c r="Y20" s="1106"/>
      <c r="Z20" s="1106"/>
      <c r="AA20" s="1106"/>
      <c r="AB20" s="1106"/>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6"/>
      <c r="CM20" s="1106"/>
      <c r="CN20" s="1106"/>
      <c r="CO20" s="1106"/>
      <c r="CP20" s="1106"/>
      <c r="CQ20" s="1106"/>
      <c r="CR20" s="1106"/>
      <c r="CS20" s="1106"/>
      <c r="CT20" s="1106"/>
      <c r="CU20" s="1106"/>
      <c r="CV20" s="1106"/>
      <c r="CW20" s="1106"/>
      <c r="CX20" s="1106"/>
      <c r="CY20" s="1106"/>
      <c r="CZ20" s="1106"/>
      <c r="DA20" s="1106"/>
      <c r="DB20" s="1106"/>
      <c r="DC20" s="1106"/>
      <c r="DD20" s="1106"/>
      <c r="DE20" s="1106"/>
      <c r="DF20" s="1106"/>
      <c r="DG20" s="1106"/>
      <c r="DH20" s="1106"/>
      <c r="DI20" s="1106"/>
      <c r="DJ20" s="1106"/>
      <c r="DK20" s="1106"/>
      <c r="DL20" s="1106"/>
      <c r="DM20" s="1106"/>
      <c r="DN20" s="1106"/>
      <c r="DO20" s="1106"/>
      <c r="DP20" s="1106"/>
      <c r="DQ20" s="1106"/>
      <c r="DR20" s="1106"/>
      <c r="DS20" s="1106"/>
      <c r="DT20" s="1106"/>
      <c r="DU20" s="1106"/>
      <c r="DV20" s="1106"/>
      <c r="DW20" s="1106"/>
      <c r="DX20" s="1106"/>
      <c r="DY20" s="1106"/>
      <c r="DZ20" s="1106"/>
      <c r="EA20" s="1106"/>
      <c r="EB20" s="1106"/>
      <c r="EC20" s="1106"/>
      <c r="ED20" s="1106"/>
      <c r="EE20" s="1106"/>
      <c r="EF20" s="1106"/>
      <c r="EG20" s="1106"/>
      <c r="EH20" s="1106"/>
      <c r="EI20" s="1106"/>
      <c r="EJ20" s="1106"/>
      <c r="EK20" s="1106"/>
      <c r="EL20" s="1106"/>
      <c r="EM20" s="1106"/>
      <c r="EN20" s="1106"/>
      <c r="EO20" s="1106"/>
      <c r="EP20" s="1106"/>
      <c r="EQ20" s="1106"/>
      <c r="ER20" s="1106"/>
      <c r="ES20" s="1106"/>
      <c r="ET20" s="1106"/>
      <c r="EU20" s="1106"/>
      <c r="EV20" s="1106"/>
      <c r="EW20" s="1106"/>
      <c r="EX20" s="1106"/>
      <c r="EY20" s="1106"/>
      <c r="EZ20" s="1106"/>
      <c r="FA20" s="1106"/>
      <c r="FB20" s="1106"/>
      <c r="FC20" s="1106"/>
      <c r="FD20" s="1106"/>
      <c r="FE20" s="1106"/>
      <c r="FF20" s="1106"/>
      <c r="FG20" s="1106"/>
      <c r="FH20" s="1106"/>
      <c r="FI20" s="1106"/>
      <c r="FJ20" s="1106"/>
      <c r="FK20" s="1106"/>
      <c r="FL20" s="1106"/>
      <c r="FM20" s="1106"/>
      <c r="FN20" s="1106"/>
      <c r="FO20" s="1106"/>
      <c r="FP20" s="1106"/>
      <c r="FQ20" s="1106"/>
      <c r="FR20" s="1106"/>
      <c r="FS20" s="1106"/>
      <c r="FT20" s="1106"/>
      <c r="FU20" s="1106"/>
      <c r="FV20" s="1106"/>
      <c r="FW20" s="1106"/>
      <c r="FX20" s="1106"/>
      <c r="FY20" s="1106"/>
      <c r="FZ20" s="1106"/>
      <c r="GA20" s="1106"/>
      <c r="GB20" s="1106"/>
      <c r="GC20" s="1106"/>
      <c r="GD20" s="1106"/>
      <c r="GE20" s="1106"/>
      <c r="GF20" s="1106"/>
      <c r="GG20" s="1106"/>
      <c r="GH20" s="1106"/>
      <c r="GI20" s="1106"/>
      <c r="GJ20" s="1106"/>
      <c r="GK20" s="1106"/>
      <c r="GL20" s="1106"/>
      <c r="GM20" s="1106"/>
      <c r="GN20" s="1106"/>
      <c r="GO20" s="1106"/>
      <c r="GP20" s="1106"/>
      <c r="GQ20" s="1106"/>
      <c r="GR20" s="1106"/>
      <c r="GS20" s="1106"/>
      <c r="GT20" s="1106"/>
      <c r="GU20" s="1106"/>
      <c r="GV20" s="1106"/>
      <c r="GW20" s="1106"/>
      <c r="GX20" s="1106"/>
      <c r="GY20" s="1106"/>
      <c r="GZ20" s="1106"/>
      <c r="HA20" s="1106"/>
      <c r="HB20" s="1106"/>
      <c r="HC20" s="1106"/>
      <c r="HD20" s="1106"/>
      <c r="HE20" s="1106"/>
      <c r="HF20" s="1106"/>
      <c r="HG20" s="1106"/>
      <c r="HH20" s="1106"/>
      <c r="HI20" s="1106"/>
      <c r="HJ20" s="1106"/>
      <c r="HK20" s="1106"/>
      <c r="HL20" s="1106"/>
      <c r="HM20" s="1106"/>
      <c r="HN20" s="1106"/>
      <c r="HO20" s="1106"/>
      <c r="HP20" s="1106"/>
      <c r="HQ20" s="1106"/>
      <c r="HR20" s="1106"/>
      <c r="HS20" s="1106"/>
      <c r="HT20" s="1106"/>
      <c r="HU20" s="1106"/>
      <c r="HV20" s="1106"/>
      <c r="HW20" s="1106"/>
      <c r="HX20" s="1106"/>
      <c r="HY20" s="1106"/>
      <c r="HZ20" s="1106"/>
      <c r="IA20" s="1106"/>
      <c r="IB20" s="1106"/>
      <c r="IC20" s="1106"/>
      <c r="ID20" s="1106"/>
      <c r="IE20" s="1106"/>
      <c r="IF20" s="1106"/>
      <c r="IG20" s="1106"/>
      <c r="IH20" s="1106"/>
      <c r="II20" s="1106"/>
      <c r="IJ20" s="1106"/>
      <c r="IK20" s="1106"/>
      <c r="IL20" s="1106"/>
      <c r="IM20" s="1106"/>
      <c r="IN20" s="1106"/>
      <c r="IO20" s="1106"/>
      <c r="IP20" s="1106"/>
      <c r="IQ20" s="1106"/>
      <c r="IR20" s="1106"/>
      <c r="IS20" s="1106"/>
      <c r="IT20" s="1106"/>
      <c r="IU20" s="1106"/>
      <c r="IV20" s="1106"/>
      <c r="IW20" s="1106"/>
      <c r="IX20" s="1106"/>
    </row>
    <row r="21" spans="1:258" ht="21.75" customHeight="1" x14ac:dyDescent="0.15">
      <c r="A21" s="1" t="s">
        <v>39</v>
      </c>
    </row>
    <row r="22" spans="1:258" ht="21" customHeight="1" x14ac:dyDescent="0.15">
      <c r="B22" s="1107" t="s">
        <v>2186</v>
      </c>
      <c r="C22" s="1108"/>
      <c r="D22" s="1107" t="s">
        <v>1078</v>
      </c>
      <c r="E22" s="1108"/>
      <c r="F22" s="1069" t="s">
        <v>2187</v>
      </c>
      <c r="G22" s="1082" t="s">
        <v>37</v>
      </c>
    </row>
    <row r="23" spans="1:258" ht="30" customHeight="1" x14ac:dyDescent="0.15">
      <c r="B23" s="1135" t="s">
        <v>2193</v>
      </c>
      <c r="C23" s="1136"/>
      <c r="D23" s="1139" t="s">
        <v>1932</v>
      </c>
      <c r="E23" s="1140"/>
      <c r="F23" s="1070" t="s">
        <v>2431</v>
      </c>
      <c r="G23" s="1083" t="s">
        <v>2194</v>
      </c>
    </row>
    <row r="24" spans="1:258" ht="30" customHeight="1" x14ac:dyDescent="0.15">
      <c r="B24" s="1137"/>
      <c r="C24" s="1138"/>
      <c r="D24" s="1141"/>
      <c r="E24" s="1142"/>
      <c r="F24" s="1070" t="s">
        <v>2431</v>
      </c>
      <c r="G24" s="1083" t="s">
        <v>2195</v>
      </c>
    </row>
    <row r="25" spans="1:258" ht="48.75" customHeight="1" x14ac:dyDescent="0.15">
      <c r="B25" s="782"/>
      <c r="C25" s="781" t="s">
        <v>2277</v>
      </c>
      <c r="D25" s="1131" t="s">
        <v>2196</v>
      </c>
      <c r="E25" s="1132"/>
      <c r="F25" s="1070" t="s">
        <v>2431</v>
      </c>
      <c r="G25" s="1083" t="s">
        <v>2207</v>
      </c>
    </row>
    <row r="26" spans="1:258" ht="33" customHeight="1" x14ac:dyDescent="0.15">
      <c r="B26" s="780"/>
      <c r="C26" s="60" t="s">
        <v>2181</v>
      </c>
      <c r="D26" s="1129" t="s">
        <v>2182</v>
      </c>
      <c r="E26" s="1130"/>
      <c r="F26" s="1070" t="s">
        <v>2431</v>
      </c>
      <c r="G26" s="1084" t="s">
        <v>2208</v>
      </c>
    </row>
    <row r="27" spans="1:258" ht="33" customHeight="1" x14ac:dyDescent="0.15">
      <c r="B27" s="780"/>
      <c r="C27" s="60" t="s">
        <v>2183</v>
      </c>
      <c r="D27" s="1129" t="s">
        <v>2184</v>
      </c>
      <c r="E27" s="1130"/>
      <c r="F27" s="1070" t="s">
        <v>2431</v>
      </c>
      <c r="G27" s="1084" t="s">
        <v>2209</v>
      </c>
    </row>
    <row r="28" spans="1:258" ht="33" customHeight="1" x14ac:dyDescent="0.15">
      <c r="A28" s="4"/>
      <c r="B28" s="780"/>
      <c r="C28" s="22" t="s">
        <v>2437</v>
      </c>
      <c r="D28" s="1133" t="s">
        <v>2185</v>
      </c>
      <c r="E28" s="1134"/>
      <c r="F28" s="1071" t="s">
        <v>2331</v>
      </c>
      <c r="G28" s="1084" t="s">
        <v>2210</v>
      </c>
    </row>
    <row r="29" spans="1:258" ht="33" customHeight="1" x14ac:dyDescent="0.15">
      <c r="A29" s="4"/>
      <c r="B29" s="780"/>
      <c r="C29" s="22" t="s">
        <v>2180</v>
      </c>
      <c r="D29" s="1109" t="s">
        <v>776</v>
      </c>
      <c r="E29" s="1110"/>
      <c r="F29" s="1071" t="s">
        <v>2331</v>
      </c>
      <c r="G29" s="1103" t="s">
        <v>2211</v>
      </c>
    </row>
    <row r="30" spans="1:258" ht="33" customHeight="1" x14ac:dyDescent="0.15">
      <c r="A30" s="4"/>
      <c r="B30" s="780"/>
      <c r="C30" s="22" t="s">
        <v>2188</v>
      </c>
      <c r="D30" s="1109" t="s">
        <v>333</v>
      </c>
      <c r="E30" s="1110"/>
      <c r="F30" s="1071" t="s">
        <v>2331</v>
      </c>
      <c r="G30" s="1085" t="s">
        <v>2212</v>
      </c>
    </row>
    <row r="31" spans="1:258" ht="33" customHeight="1" x14ac:dyDescent="0.15">
      <c r="A31" s="4"/>
      <c r="B31" s="780"/>
      <c r="C31" s="22" t="s">
        <v>2189</v>
      </c>
      <c r="D31" s="1109" t="s">
        <v>2197</v>
      </c>
      <c r="E31" s="1110"/>
      <c r="F31" s="1071" t="s">
        <v>2331</v>
      </c>
      <c r="G31" s="1085" t="s">
        <v>2213</v>
      </c>
    </row>
    <row r="32" spans="1:258" ht="33" customHeight="1" x14ac:dyDescent="0.15">
      <c r="A32" s="4"/>
      <c r="B32" s="780"/>
      <c r="C32" s="22" t="s">
        <v>2332</v>
      </c>
      <c r="D32" s="1109" t="s">
        <v>2333</v>
      </c>
      <c r="E32" s="1110"/>
      <c r="F32" s="1071" t="s">
        <v>2334</v>
      </c>
      <c r="G32" s="1084" t="s">
        <v>2339</v>
      </c>
    </row>
    <row r="33" spans="1:258" ht="33" customHeight="1" x14ac:dyDescent="0.15">
      <c r="A33" s="4"/>
      <c r="B33" s="780"/>
      <c r="C33" s="60" t="s">
        <v>2190</v>
      </c>
      <c r="D33" s="1109" t="s">
        <v>204</v>
      </c>
      <c r="E33" s="1110"/>
      <c r="F33" s="1070" t="s">
        <v>2343</v>
      </c>
      <c r="G33" s="1085" t="s">
        <v>2214</v>
      </c>
    </row>
    <row r="34" spans="1:258" ht="33" customHeight="1" x14ac:dyDescent="0.15">
      <c r="A34" s="4"/>
      <c r="B34" s="780"/>
      <c r="C34" s="60" t="s">
        <v>2191</v>
      </c>
      <c r="D34" s="1109" t="s">
        <v>2198</v>
      </c>
      <c r="E34" s="1110"/>
      <c r="F34" s="1070" t="s">
        <v>2343</v>
      </c>
      <c r="G34" s="1085" t="s">
        <v>2266</v>
      </c>
    </row>
    <row r="35" spans="1:258" ht="33" customHeight="1" x14ac:dyDescent="0.15">
      <c r="A35" s="4"/>
      <c r="B35" s="780"/>
      <c r="C35" s="60" t="s">
        <v>2192</v>
      </c>
      <c r="D35" s="1111" t="s">
        <v>2336</v>
      </c>
      <c r="E35" s="1112"/>
      <c r="F35" s="1071" t="s">
        <v>2331</v>
      </c>
      <c r="G35" s="1085" t="s">
        <v>2215</v>
      </c>
    </row>
    <row r="36" spans="1:258" ht="33" customHeight="1" x14ac:dyDescent="0.15">
      <c r="A36" s="4"/>
      <c r="B36" s="336"/>
      <c r="C36" s="60" t="s">
        <v>2335</v>
      </c>
      <c r="D36" s="1111" t="s">
        <v>2337</v>
      </c>
      <c r="E36" s="1112"/>
      <c r="F36" s="1070" t="s">
        <v>2334</v>
      </c>
      <c r="G36" s="1084" t="s">
        <v>2338</v>
      </c>
    </row>
    <row r="37" spans="1:258" ht="10.15" customHeight="1" x14ac:dyDescent="0.15">
      <c r="A37" s="4"/>
      <c r="B37" s="61"/>
      <c r="C37" s="61"/>
      <c r="D37" s="61"/>
      <c r="E37" s="61"/>
      <c r="F37" s="1072"/>
      <c r="G37" s="1086"/>
    </row>
    <row r="38" spans="1:258" ht="15.6" customHeight="1" x14ac:dyDescent="0.15">
      <c r="A38" s="1" t="s">
        <v>1051</v>
      </c>
    </row>
    <row r="39" spans="1:258" ht="21" customHeight="1" x14ac:dyDescent="0.15">
      <c r="B39" s="1107" t="s">
        <v>2199</v>
      </c>
      <c r="C39" s="1108"/>
      <c r="D39" s="1107" t="s">
        <v>1078</v>
      </c>
      <c r="E39" s="1108"/>
      <c r="F39" s="1069" t="s">
        <v>2187</v>
      </c>
      <c r="G39" s="1082" t="s">
        <v>37</v>
      </c>
    </row>
    <row r="40" spans="1:258" ht="34.5" customHeight="1" x14ac:dyDescent="0.15">
      <c r="A40" s="4"/>
      <c r="B40" s="783"/>
      <c r="C40" s="1122" t="s">
        <v>2205</v>
      </c>
      <c r="D40" s="1109" t="s">
        <v>2204</v>
      </c>
      <c r="E40" s="1110"/>
      <c r="F40" s="1071" t="s">
        <v>2331</v>
      </c>
      <c r="G40" s="1087" t="s">
        <v>2268</v>
      </c>
    </row>
    <row r="41" spans="1:258" ht="30" customHeight="1" x14ac:dyDescent="0.15">
      <c r="A41" s="4"/>
      <c r="B41" s="784"/>
      <c r="C41" s="1123"/>
      <c r="D41" s="1116" t="s">
        <v>2206</v>
      </c>
      <c r="E41" s="1117"/>
      <c r="F41" s="1071" t="s">
        <v>2331</v>
      </c>
      <c r="G41" s="1084" t="s">
        <v>2200</v>
      </c>
    </row>
    <row r="42" spans="1:258" ht="30" customHeight="1" x14ac:dyDescent="0.15">
      <c r="A42" s="4"/>
      <c r="B42" s="784"/>
      <c r="C42" s="1123"/>
      <c r="D42" s="1118"/>
      <c r="E42" s="1119"/>
      <c r="F42" s="1070" t="s">
        <v>2344</v>
      </c>
      <c r="G42" s="1084" t="s">
        <v>2201</v>
      </c>
    </row>
    <row r="43" spans="1:258" ht="30" customHeight="1" x14ac:dyDescent="0.15">
      <c r="A43" s="4"/>
      <c r="B43" s="784"/>
      <c r="C43" s="1123"/>
      <c r="D43" s="1118"/>
      <c r="E43" s="1119"/>
      <c r="F43" s="1070" t="s">
        <v>2344</v>
      </c>
      <c r="G43" s="1084" t="s">
        <v>2202</v>
      </c>
    </row>
    <row r="44" spans="1:258" ht="30" customHeight="1" x14ac:dyDescent="0.15">
      <c r="A44" s="4"/>
      <c r="B44" s="785"/>
      <c r="C44" s="1124"/>
      <c r="D44" s="1120"/>
      <c r="E44" s="1121"/>
      <c r="F44" s="1070" t="s">
        <v>2344</v>
      </c>
      <c r="G44" s="1084" t="s">
        <v>2203</v>
      </c>
    </row>
    <row r="45" spans="1:258" ht="28.5" hidden="1" customHeight="1" x14ac:dyDescent="0.15">
      <c r="A45" s="1" t="s">
        <v>2219</v>
      </c>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ht="21" hidden="1" customHeight="1" x14ac:dyDescent="0.15">
      <c r="B46" s="1107" t="s">
        <v>2199</v>
      </c>
      <c r="C46" s="1108"/>
      <c r="D46" s="1107" t="s">
        <v>1078</v>
      </c>
      <c r="E46" s="1108"/>
      <c r="F46" s="1069" t="s">
        <v>2187</v>
      </c>
      <c r="G46" s="1082" t="s">
        <v>37</v>
      </c>
    </row>
    <row r="47" spans="1:258" ht="34.5" hidden="1" customHeight="1" x14ac:dyDescent="0.15">
      <c r="A47" s="4"/>
      <c r="B47" s="1152" t="s">
        <v>2220</v>
      </c>
      <c r="C47" s="1153"/>
      <c r="D47" s="1109" t="s">
        <v>1079</v>
      </c>
      <c r="E47" s="1110"/>
      <c r="F47" s="1070" t="s">
        <v>2343</v>
      </c>
      <c r="G47" s="1087" t="s">
        <v>2233</v>
      </c>
    </row>
    <row r="48" spans="1:258" ht="34.5" hidden="1" customHeight="1" x14ac:dyDescent="0.15">
      <c r="A48" s="4"/>
      <c r="B48" s="1152" t="s">
        <v>2221</v>
      </c>
      <c r="C48" s="1153"/>
      <c r="D48" s="1109" t="s">
        <v>1080</v>
      </c>
      <c r="E48" s="1110"/>
      <c r="F48" s="1070" t="s">
        <v>2344</v>
      </c>
      <c r="G48" s="1084" t="s">
        <v>2232</v>
      </c>
    </row>
    <row r="49" spans="1:258" ht="34.5" hidden="1" customHeight="1" x14ac:dyDescent="0.15">
      <c r="A49" s="4"/>
      <c r="B49" s="1152" t="s">
        <v>2222</v>
      </c>
      <c r="C49" s="1153"/>
      <c r="D49" s="1109" t="s">
        <v>1081</v>
      </c>
      <c r="E49" s="1110"/>
      <c r="F49" s="1070" t="s">
        <v>2344</v>
      </c>
      <c r="G49" s="1084" t="s">
        <v>2231</v>
      </c>
    </row>
    <row r="50" spans="1:258" ht="34.5" hidden="1" customHeight="1" x14ac:dyDescent="0.15">
      <c r="A50" s="4"/>
      <c r="B50" s="1152" t="s">
        <v>2223</v>
      </c>
      <c r="C50" s="1153"/>
      <c r="D50" s="1109" t="s">
        <v>1082</v>
      </c>
      <c r="E50" s="1110"/>
      <c r="F50" s="1070" t="s">
        <v>2344</v>
      </c>
      <c r="G50" s="1084" t="s">
        <v>2230</v>
      </c>
    </row>
    <row r="51" spans="1:258" ht="19.5" hidden="1" customHeight="1" x14ac:dyDescent="0.15">
      <c r="A51" s="4"/>
      <c r="B51" s="1165" t="s">
        <v>2224</v>
      </c>
      <c r="C51" s="1166"/>
      <c r="D51" s="1161" t="s">
        <v>2225</v>
      </c>
      <c r="E51" s="1162"/>
      <c r="F51" s="1159" t="s">
        <v>2343</v>
      </c>
      <c r="G51" s="1084" t="s">
        <v>2229</v>
      </c>
    </row>
    <row r="52" spans="1:258" ht="19.5" hidden="1" customHeight="1" x14ac:dyDescent="0.15">
      <c r="A52" s="4"/>
      <c r="B52" s="1167"/>
      <c r="C52" s="1168"/>
      <c r="D52" s="1163"/>
      <c r="E52" s="1164"/>
      <c r="F52" s="1160"/>
      <c r="G52" s="1084" t="s">
        <v>2228</v>
      </c>
    </row>
    <row r="53" spans="1:258" ht="45" hidden="1" customHeight="1" x14ac:dyDescent="0.15">
      <c r="A53" s="4"/>
      <c r="B53" s="1152" t="s">
        <v>2237</v>
      </c>
      <c r="C53" s="1153"/>
      <c r="D53" s="1109" t="s">
        <v>2234</v>
      </c>
      <c r="E53" s="1110"/>
      <c r="F53" s="1071" t="s">
        <v>2331</v>
      </c>
      <c r="G53" s="1084" t="s">
        <v>2269</v>
      </c>
    </row>
    <row r="54" spans="1:258" ht="42.75" hidden="1" customHeight="1" x14ac:dyDescent="0.15">
      <c r="A54" s="4"/>
      <c r="B54" s="1152" t="s">
        <v>2236</v>
      </c>
      <c r="C54" s="1153"/>
      <c r="D54" s="1169" t="s">
        <v>2432</v>
      </c>
      <c r="E54" s="1170"/>
      <c r="F54" s="1070" t="s">
        <v>2344</v>
      </c>
      <c r="G54" s="1084" t="s">
        <v>2235</v>
      </c>
    </row>
    <row r="55" spans="1:258" ht="19.5" hidden="1" customHeight="1" x14ac:dyDescent="0.15">
      <c r="A55" s="4"/>
      <c r="B55" s="1152" t="s">
        <v>2342</v>
      </c>
      <c r="C55" s="1153"/>
      <c r="D55" s="1109" t="s">
        <v>2294</v>
      </c>
      <c r="E55" s="1110"/>
      <c r="F55" s="1070" t="s">
        <v>193</v>
      </c>
      <c r="G55" s="1084" t="s">
        <v>2270</v>
      </c>
    </row>
    <row r="56" spans="1:258" ht="19.5" hidden="1" customHeight="1" x14ac:dyDescent="0.15">
      <c r="A56" s="4"/>
      <c r="B56" s="1165" t="s">
        <v>2342</v>
      </c>
      <c r="C56" s="1166"/>
      <c r="D56" s="1116" t="s">
        <v>2295</v>
      </c>
      <c r="E56" s="1117"/>
      <c r="F56" s="1171" t="s">
        <v>193</v>
      </c>
      <c r="G56" s="1084" t="s">
        <v>2271</v>
      </c>
    </row>
    <row r="57" spans="1:258" ht="19.5" hidden="1" customHeight="1" x14ac:dyDescent="0.15">
      <c r="A57" s="4"/>
      <c r="B57" s="1167"/>
      <c r="C57" s="1168"/>
      <c r="D57" s="1120"/>
      <c r="E57" s="1121"/>
      <c r="F57" s="1160"/>
      <c r="G57" s="1084" t="s">
        <v>2272</v>
      </c>
    </row>
    <row r="58" spans="1:258" ht="19.5" hidden="1" customHeight="1" x14ac:dyDescent="0.15">
      <c r="A58" s="4"/>
      <c r="B58" s="1107" t="s">
        <v>1920</v>
      </c>
      <c r="C58" s="1158"/>
      <c r="D58" s="978"/>
      <c r="E58" s="978"/>
      <c r="F58" s="1073"/>
      <c r="G58" s="1088"/>
    </row>
    <row r="59" spans="1:258" ht="19.5" hidden="1" customHeight="1" x14ac:dyDescent="0.15">
      <c r="A59" s="4"/>
      <c r="B59" s="1152" t="s">
        <v>2342</v>
      </c>
      <c r="C59" s="1153"/>
      <c r="D59" s="972" t="s">
        <v>2347</v>
      </c>
      <c r="E59" s="973"/>
      <c r="F59" s="1074" t="s">
        <v>2342</v>
      </c>
      <c r="G59" s="1084" t="s">
        <v>2346</v>
      </c>
    </row>
    <row r="60" spans="1:258" ht="19.5" hidden="1" customHeight="1" x14ac:dyDescent="0.15">
      <c r="A60" s="4"/>
      <c r="B60" s="1152" t="s">
        <v>2342</v>
      </c>
      <c r="C60" s="1153"/>
      <c r="D60" s="972" t="s">
        <v>2348</v>
      </c>
      <c r="E60" s="973"/>
      <c r="F60" s="1074" t="s">
        <v>2342</v>
      </c>
      <c r="G60" s="1084" t="s">
        <v>2345</v>
      </c>
    </row>
    <row r="61" spans="1:258" ht="7.9" hidden="1" customHeight="1" x14ac:dyDescent="0.15"/>
    <row r="62" spans="1:258" ht="11.25" hidden="1" customHeight="1" x14ac:dyDescent="0.15">
      <c r="A62" s="14"/>
      <c r="B62" s="14"/>
      <c r="C62" s="15"/>
      <c r="D62" s="14"/>
      <c r="E62" s="14"/>
      <c r="F62" s="1067"/>
      <c r="G62" s="1081"/>
      <c r="H62" s="15"/>
      <c r="J62" s="1106"/>
      <c r="K62" s="1106"/>
      <c r="L62" s="1106"/>
      <c r="M62" s="1106"/>
      <c r="N62" s="1106"/>
      <c r="O62" s="1106"/>
      <c r="P62" s="1106"/>
      <c r="Q62" s="1106"/>
      <c r="R62" s="1106"/>
      <c r="S62" s="1106"/>
      <c r="T62" s="1106"/>
      <c r="U62" s="1106"/>
      <c r="V62" s="1106"/>
      <c r="W62" s="1106"/>
      <c r="X62" s="1106"/>
      <c r="Y62" s="1106"/>
      <c r="Z62" s="1106"/>
      <c r="AA62" s="1106"/>
      <c r="AB62" s="1106"/>
      <c r="AC62" s="1106"/>
      <c r="AD62" s="1106"/>
      <c r="AE62" s="1106"/>
      <c r="AF62" s="1106"/>
      <c r="AG62" s="1106"/>
      <c r="AH62" s="1106"/>
      <c r="AI62" s="1106"/>
      <c r="AJ62" s="1106"/>
      <c r="AK62" s="1106"/>
      <c r="AL62" s="1106"/>
      <c r="AM62" s="1106"/>
      <c r="AN62" s="1106"/>
      <c r="AO62" s="1106"/>
      <c r="AP62" s="1106"/>
      <c r="AQ62" s="1106"/>
      <c r="AR62" s="1106"/>
      <c r="AS62" s="1106"/>
      <c r="AT62" s="1106"/>
      <c r="AU62" s="1106"/>
      <c r="AV62" s="1106"/>
      <c r="AW62" s="1106"/>
      <c r="AX62" s="1106"/>
      <c r="AY62" s="1106"/>
      <c r="AZ62" s="1106"/>
      <c r="BA62" s="1106"/>
      <c r="BB62" s="1106"/>
      <c r="BC62" s="1106"/>
      <c r="BD62" s="1106"/>
      <c r="BE62" s="1106"/>
      <c r="BF62" s="1106"/>
      <c r="BG62" s="1106"/>
      <c r="BH62" s="1106"/>
      <c r="BI62" s="1106"/>
      <c r="BJ62" s="1106"/>
      <c r="BK62" s="1106"/>
      <c r="BL62" s="1106"/>
      <c r="BM62" s="1106"/>
      <c r="BN62" s="1106"/>
      <c r="BO62" s="1106"/>
      <c r="BP62" s="1106"/>
      <c r="BQ62" s="1106"/>
      <c r="BR62" s="1106"/>
      <c r="BS62" s="1106"/>
      <c r="BT62" s="1106"/>
      <c r="BU62" s="1106"/>
      <c r="BV62" s="1106"/>
      <c r="BW62" s="1106"/>
      <c r="BX62" s="1106"/>
      <c r="BY62" s="1106"/>
      <c r="BZ62" s="1106"/>
      <c r="CA62" s="1106"/>
      <c r="CB62" s="1106"/>
      <c r="CC62" s="1106"/>
      <c r="CD62" s="1106"/>
      <c r="CE62" s="1106"/>
      <c r="CF62" s="1106"/>
      <c r="CG62" s="1106"/>
      <c r="CH62" s="1106"/>
      <c r="CI62" s="1106"/>
      <c r="CJ62" s="1106"/>
      <c r="CK62" s="1106"/>
      <c r="CL62" s="1106"/>
      <c r="CM62" s="1106"/>
      <c r="CN62" s="1106"/>
      <c r="CO62" s="1106"/>
      <c r="CP62" s="1106"/>
      <c r="CQ62" s="1106"/>
      <c r="CR62" s="1106"/>
      <c r="CS62" s="1106"/>
      <c r="CT62" s="1106"/>
      <c r="CU62" s="1106"/>
      <c r="CV62" s="1106"/>
      <c r="CW62" s="1106"/>
      <c r="CX62" s="1106"/>
      <c r="CY62" s="1106"/>
      <c r="CZ62" s="1106"/>
      <c r="DA62" s="1106"/>
      <c r="DB62" s="1106"/>
      <c r="DC62" s="1106"/>
      <c r="DD62" s="1106"/>
      <c r="DE62" s="1106"/>
      <c r="DF62" s="1106"/>
      <c r="DG62" s="1106"/>
      <c r="DH62" s="1106"/>
      <c r="DI62" s="1106"/>
      <c r="DJ62" s="1106"/>
      <c r="DK62" s="1106"/>
      <c r="DL62" s="1106"/>
      <c r="DM62" s="1106"/>
      <c r="DN62" s="1106"/>
      <c r="DO62" s="1106"/>
      <c r="DP62" s="1106"/>
      <c r="DQ62" s="1106"/>
      <c r="DR62" s="1106"/>
      <c r="DS62" s="1106"/>
      <c r="DT62" s="1106"/>
      <c r="DU62" s="1106"/>
      <c r="DV62" s="1106"/>
      <c r="DW62" s="1106"/>
      <c r="DX62" s="1106"/>
      <c r="DY62" s="1106"/>
      <c r="DZ62" s="1106"/>
      <c r="EA62" s="1106"/>
      <c r="EB62" s="1106"/>
      <c r="EC62" s="1106"/>
      <c r="ED62" s="1106"/>
      <c r="EE62" s="1106"/>
      <c r="EF62" s="1106"/>
      <c r="EG62" s="1106"/>
      <c r="EH62" s="1106"/>
      <c r="EI62" s="1106"/>
      <c r="EJ62" s="1106"/>
      <c r="EK62" s="1106"/>
      <c r="EL62" s="1106"/>
      <c r="EM62" s="1106"/>
      <c r="EN62" s="1106"/>
      <c r="EO62" s="1106"/>
      <c r="EP62" s="1106"/>
      <c r="EQ62" s="1106"/>
      <c r="ER62" s="1106"/>
      <c r="ES62" s="1106"/>
      <c r="ET62" s="1106"/>
      <c r="EU62" s="1106"/>
      <c r="EV62" s="1106"/>
      <c r="EW62" s="1106"/>
      <c r="EX62" s="1106"/>
      <c r="EY62" s="1106"/>
      <c r="EZ62" s="1106"/>
      <c r="FA62" s="1106"/>
      <c r="FB62" s="1106"/>
      <c r="FC62" s="1106"/>
      <c r="FD62" s="1106"/>
      <c r="FE62" s="1106"/>
      <c r="FF62" s="1106"/>
      <c r="FG62" s="1106"/>
      <c r="FH62" s="1106"/>
      <c r="FI62" s="1106"/>
      <c r="FJ62" s="1106"/>
      <c r="FK62" s="1106"/>
      <c r="FL62" s="1106"/>
      <c r="FM62" s="1106"/>
      <c r="FN62" s="1106"/>
      <c r="FO62" s="1106"/>
      <c r="FP62" s="1106"/>
      <c r="FQ62" s="1106"/>
      <c r="FR62" s="1106"/>
      <c r="FS62" s="1106"/>
      <c r="FT62" s="1106"/>
      <c r="FU62" s="1106"/>
      <c r="FV62" s="1106"/>
      <c r="FW62" s="1106"/>
      <c r="FX62" s="1106"/>
      <c r="FY62" s="1106"/>
      <c r="FZ62" s="1106"/>
      <c r="GA62" s="1106"/>
      <c r="GB62" s="1106"/>
      <c r="GC62" s="1106"/>
      <c r="GD62" s="1106"/>
      <c r="GE62" s="1106"/>
      <c r="GF62" s="1106"/>
      <c r="GG62" s="1106"/>
      <c r="GH62" s="1106"/>
      <c r="GI62" s="1106"/>
      <c r="GJ62" s="1106"/>
      <c r="GK62" s="1106"/>
      <c r="GL62" s="1106"/>
      <c r="GM62" s="1106"/>
      <c r="GN62" s="1106"/>
      <c r="GO62" s="1106"/>
      <c r="GP62" s="1106"/>
      <c r="GQ62" s="1106"/>
      <c r="GR62" s="1106"/>
      <c r="GS62" s="1106"/>
      <c r="GT62" s="1106"/>
      <c r="GU62" s="1106"/>
      <c r="GV62" s="1106"/>
      <c r="GW62" s="1106"/>
      <c r="GX62" s="1106"/>
      <c r="GY62" s="1106"/>
      <c r="GZ62" s="1106"/>
      <c r="HA62" s="1106"/>
      <c r="HB62" s="1106"/>
      <c r="HC62" s="1106"/>
      <c r="HD62" s="1106"/>
      <c r="HE62" s="1106"/>
      <c r="HF62" s="1106"/>
      <c r="HG62" s="1106"/>
      <c r="HH62" s="1106"/>
      <c r="HI62" s="1106"/>
      <c r="HJ62" s="1106"/>
      <c r="HK62" s="1106"/>
      <c r="HL62" s="1106"/>
      <c r="HM62" s="1106"/>
      <c r="HN62" s="1106"/>
      <c r="HO62" s="1106"/>
      <c r="HP62" s="1106"/>
      <c r="HQ62" s="1106"/>
      <c r="HR62" s="1106"/>
      <c r="HS62" s="1106"/>
      <c r="HT62" s="1106"/>
      <c r="HU62" s="1106"/>
      <c r="HV62" s="1106"/>
      <c r="HW62" s="1106"/>
      <c r="HX62" s="1106"/>
      <c r="HY62" s="1106"/>
      <c r="HZ62" s="1106"/>
      <c r="IA62" s="1106"/>
      <c r="IB62" s="1106"/>
      <c r="IC62" s="1106"/>
      <c r="ID62" s="1106"/>
      <c r="IE62" s="1106"/>
      <c r="IF62" s="1106"/>
      <c r="IG62" s="1106"/>
      <c r="IH62" s="1106"/>
      <c r="II62" s="1106"/>
      <c r="IJ62" s="1106"/>
      <c r="IK62" s="1106"/>
      <c r="IL62" s="1106"/>
      <c r="IM62" s="1106"/>
      <c r="IN62" s="1106"/>
      <c r="IO62" s="1106"/>
      <c r="IP62" s="1106"/>
      <c r="IQ62" s="1106"/>
      <c r="IR62" s="1106"/>
      <c r="IS62" s="1106"/>
      <c r="IT62" s="1106"/>
      <c r="IU62" s="1106"/>
      <c r="IV62" s="1106"/>
      <c r="IW62" s="1106"/>
    </row>
    <row r="63" spans="1:258" ht="28.5" hidden="1" customHeight="1" x14ac:dyDescent="0.15">
      <c r="A63" s="1" t="s">
        <v>2238</v>
      </c>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ht="19.5" hidden="1" customHeight="1" x14ac:dyDescent="0.15">
      <c r="B64" s="1156" t="s">
        <v>2199</v>
      </c>
      <c r="C64" s="1157"/>
      <c r="D64" s="1156" t="s">
        <v>772</v>
      </c>
      <c r="E64" s="1157"/>
      <c r="F64" s="1069" t="s">
        <v>2187</v>
      </c>
      <c r="G64" s="1082" t="s">
        <v>37</v>
      </c>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2:258" ht="18.75" hidden="1" customHeight="1" x14ac:dyDescent="0.15">
      <c r="B65" s="1154"/>
      <c r="C65" s="1155"/>
      <c r="D65" s="1109" t="s">
        <v>2217</v>
      </c>
      <c r="E65" s="1110"/>
      <c r="F65" s="1075"/>
      <c r="G65" s="1084" t="s">
        <v>2216</v>
      </c>
      <c r="H65" s="784"/>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sheetData>
  <mergeCells count="398">
    <mergeCell ref="B59:C59"/>
    <mergeCell ref="B60:C60"/>
    <mergeCell ref="B58:C58"/>
    <mergeCell ref="F51:F52"/>
    <mergeCell ref="D51:E52"/>
    <mergeCell ref="B51:C52"/>
    <mergeCell ref="B54:C54"/>
    <mergeCell ref="D54:E54"/>
    <mergeCell ref="B55:C55"/>
    <mergeCell ref="D55:E55"/>
    <mergeCell ref="D56:E57"/>
    <mergeCell ref="B56:C57"/>
    <mergeCell ref="F56:F57"/>
    <mergeCell ref="B53:C53"/>
    <mergeCell ref="D53:E53"/>
    <mergeCell ref="IL62:IN62"/>
    <mergeCell ref="IO62:IQ62"/>
    <mergeCell ref="IR62:IT62"/>
    <mergeCell ref="IU62:IW62"/>
    <mergeCell ref="HK62:HM62"/>
    <mergeCell ref="HN62:HP62"/>
    <mergeCell ref="HQ62:HS62"/>
    <mergeCell ref="HT62:HV62"/>
    <mergeCell ref="HW62:HY62"/>
    <mergeCell ref="HZ62:IB62"/>
    <mergeCell ref="IC62:IE62"/>
    <mergeCell ref="IF62:IH62"/>
    <mergeCell ref="II62:IK62"/>
    <mergeCell ref="GJ62:GL62"/>
    <mergeCell ref="GM62:GO62"/>
    <mergeCell ref="GP62:GR62"/>
    <mergeCell ref="GS62:GU62"/>
    <mergeCell ref="GV62:GX62"/>
    <mergeCell ref="GY62:HA62"/>
    <mergeCell ref="HB62:HD62"/>
    <mergeCell ref="HE62:HG62"/>
    <mergeCell ref="HH62:HJ62"/>
    <mergeCell ref="FI62:FK62"/>
    <mergeCell ref="FL62:FN62"/>
    <mergeCell ref="FO62:FQ62"/>
    <mergeCell ref="FR62:FT62"/>
    <mergeCell ref="FU62:FW62"/>
    <mergeCell ref="FX62:FZ62"/>
    <mergeCell ref="GA62:GC62"/>
    <mergeCell ref="GD62:GF62"/>
    <mergeCell ref="GG62:GI62"/>
    <mergeCell ref="EH62:EJ62"/>
    <mergeCell ref="EK62:EM62"/>
    <mergeCell ref="EN62:EP62"/>
    <mergeCell ref="EQ62:ES62"/>
    <mergeCell ref="ET62:EV62"/>
    <mergeCell ref="EW62:EY62"/>
    <mergeCell ref="EZ62:FB62"/>
    <mergeCell ref="FC62:FE62"/>
    <mergeCell ref="FF62:FH62"/>
    <mergeCell ref="DG62:DI62"/>
    <mergeCell ref="DJ62:DL62"/>
    <mergeCell ref="DM62:DO62"/>
    <mergeCell ref="DP62:DR62"/>
    <mergeCell ref="DS62:DU62"/>
    <mergeCell ref="DV62:DX62"/>
    <mergeCell ref="DY62:EA62"/>
    <mergeCell ref="EB62:ED62"/>
    <mergeCell ref="EE62:EG62"/>
    <mergeCell ref="CF62:CH62"/>
    <mergeCell ref="CI62:CK62"/>
    <mergeCell ref="CL62:CN62"/>
    <mergeCell ref="CO62:CQ62"/>
    <mergeCell ref="CR62:CT62"/>
    <mergeCell ref="CU62:CW62"/>
    <mergeCell ref="CX62:CZ62"/>
    <mergeCell ref="DA62:DC62"/>
    <mergeCell ref="DD62:DF62"/>
    <mergeCell ref="BE62:BG62"/>
    <mergeCell ref="BH62:BJ62"/>
    <mergeCell ref="BK62:BM62"/>
    <mergeCell ref="BN62:BP62"/>
    <mergeCell ref="BQ62:BS62"/>
    <mergeCell ref="BT62:BV62"/>
    <mergeCell ref="BW62:BY62"/>
    <mergeCell ref="BZ62:CB62"/>
    <mergeCell ref="CC62:CE62"/>
    <mergeCell ref="AD62:AF62"/>
    <mergeCell ref="AG62:AI62"/>
    <mergeCell ref="AJ62:AL62"/>
    <mergeCell ref="AM62:AO62"/>
    <mergeCell ref="AP62:AR62"/>
    <mergeCell ref="AS62:AU62"/>
    <mergeCell ref="AV62:AX62"/>
    <mergeCell ref="AY62:BA62"/>
    <mergeCell ref="BB62:BD62"/>
    <mergeCell ref="B65:C65"/>
    <mergeCell ref="D65:E65"/>
    <mergeCell ref="J62:K62"/>
    <mergeCell ref="L62:N62"/>
    <mergeCell ref="O62:Q62"/>
    <mergeCell ref="R62:T62"/>
    <mergeCell ref="U62:W62"/>
    <mergeCell ref="X62:Z62"/>
    <mergeCell ref="AA62:AC62"/>
    <mergeCell ref="B64:C64"/>
    <mergeCell ref="D64:E64"/>
    <mergeCell ref="B46:C46"/>
    <mergeCell ref="D46:E46"/>
    <mergeCell ref="D47:E47"/>
    <mergeCell ref="B47:C47"/>
    <mergeCell ref="B48:C48"/>
    <mergeCell ref="B49:C49"/>
    <mergeCell ref="B50:C50"/>
    <mergeCell ref="D48:E48"/>
    <mergeCell ref="D49:E49"/>
    <mergeCell ref="D50:E50"/>
    <mergeCell ref="D40:E40"/>
    <mergeCell ref="D39:E39"/>
    <mergeCell ref="D41:E44"/>
    <mergeCell ref="C40:C44"/>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39:C39"/>
    <mergeCell ref="B16:G16"/>
    <mergeCell ref="D30:E30"/>
    <mergeCell ref="D31:E31"/>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D33:E33"/>
    <mergeCell ref="D34:E34"/>
    <mergeCell ref="D36:E36"/>
    <mergeCell ref="B13:G13"/>
    <mergeCell ref="B15:G15"/>
    <mergeCell ref="J15:K15"/>
    <mergeCell ref="L15:N15"/>
    <mergeCell ref="O15:Q15"/>
    <mergeCell ref="B14:G14"/>
    <mergeCell ref="L20:N20"/>
    <mergeCell ref="O20:Q20"/>
    <mergeCell ref="D32:E32"/>
    <mergeCell ref="D35:E35"/>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HZ15:IB15"/>
    <mergeCell ref="IC15:IE15"/>
    <mergeCell ref="IX15"/>
    <mergeCell ref="IF15:IH15"/>
    <mergeCell ref="II15:IK15"/>
    <mergeCell ref="IL15:IN15"/>
    <mergeCell ref="IO15:IQ15"/>
    <mergeCell ref="IR15:IT15"/>
    <mergeCell ref="IU15:IW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s>
  <phoneticPr fontId="3"/>
  <hyperlinks>
    <hyperlink ref="G23" location="参４_申請!A1" display="参４_申請"/>
    <hyperlink ref="G24" location="参４_申請_事業計画!A1" display="参４_申請_事業計画"/>
    <hyperlink ref="G25" location="別紙１①!A1" display="別紙１①"/>
    <hyperlink ref="G26" location="別紙１②!A1" display="別紙１②"/>
    <hyperlink ref="G27" location="別紙１③!A1" display="別紙１③"/>
    <hyperlink ref="G28" location="別紙２①!A1" display="別紙１④"/>
    <hyperlink ref="G29" location="別紙２①!A1" display="別紙２①"/>
    <hyperlink ref="G30" location="別紙３!A1" display="別紙３"/>
    <hyperlink ref="G31" location="別紙４!A1" display="別紙４"/>
    <hyperlink ref="G33" location="別紙７!A1" display="別紙７"/>
    <hyperlink ref="G34" location="'別紙７（別添）'!A1" display="別紙７（別添）"/>
    <hyperlink ref="G40" location="別紙２①!A1" display="別紙２①　（再掲）"/>
    <hyperlink ref="G41" location="'別紙２②（ネットワーク化活動計画）'!A1" display="別紙２②（ネットワーク化活動計画）"/>
    <hyperlink ref="G42" location="'別紙２③（ネットワーク化）'!Print_Area" display="別紙２③（ネットワーク化）"/>
    <hyperlink ref="G43" location="'別紙２④（統合）'!A1" display="別紙２④（統合）"/>
    <hyperlink ref="G44" location="'別紙２⑤（多様な組織等の参画）'!A1" display="別紙２⑤（多様な組織等の参画）"/>
    <hyperlink ref="G47" location="参10!A1" display="参10"/>
    <hyperlink ref="G48" location="参12!A1" display="参12"/>
    <hyperlink ref="G49" location="参13!A1" display="参13"/>
    <hyperlink ref="G50" location="参14!A1" display="参14"/>
    <hyperlink ref="G51" location="参17!A1" display="参17"/>
    <hyperlink ref="G52" location="参17_別紙!A1" display="参17_別紙"/>
    <hyperlink ref="G53" location="'収支報告書（金銭出納簿連動）'!A1" display="収支報告書"/>
    <hyperlink ref="G54" location="支出に係る届出!A1" display="支出に係る届出"/>
    <hyperlink ref="G55" location="'活動記録（参考） '!A1" display="活動記録（参考）"/>
    <hyperlink ref="G57" location="'金銭出納簿（前年度）（参考） '!A1" display="金銭出納簿（前年度）（参考）"/>
    <hyperlink ref="G65" location="'実施状況報告（様式2）'!A1" display="実施状況報告（様式2）"/>
    <hyperlink ref="G56" location="金銭出納簿!A1" display="金銭出納簿"/>
    <hyperlink ref="G35" location="別紙８!A1" display="別紙８"/>
    <hyperlink ref="G36" location="別紙９!A1" display="別紙９"/>
    <hyperlink ref="G32" location="別紙６!A1" display="別紙６"/>
    <hyperlink ref="G59" location="'活動記録（多面的機能支払交付金の様式）'!A1" display="活動記録（多面的機能支払交付金の様式）"/>
    <hyperlink ref="G60" location="'金銭出納簿（多面的機能支払交付金の様式）'!A1" display="金銭出納簿（多面的機能支払交付金の様式）"/>
  </hyperlinks>
  <pageMargins left="0.70866141732283472" right="0.70866141732283472" top="0.74803149606299213" bottom="0.74803149606299213" header="0.31496062992125984" footer="0.31496062992125984"/>
  <pageSetup paperSize="9" scale="81" orientation="portrait" r:id="rId1"/>
  <rowBreaks count="2" manualBreakCount="2">
    <brk id="44" max="7" man="1"/>
    <brk id="6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82"/>
  <sheetViews>
    <sheetView workbookViewId="0">
      <selection activeCell="S8" sqref="S8"/>
    </sheetView>
  </sheetViews>
  <sheetFormatPr defaultRowHeight="13.5" x14ac:dyDescent="0.15"/>
  <cols>
    <col min="1" max="1" width="33.5" customWidth="1"/>
    <col min="2" max="4" width="33.25" customWidth="1"/>
    <col min="5" max="5" width="17.875" customWidth="1"/>
  </cols>
  <sheetData>
    <row r="1" spans="1:5" x14ac:dyDescent="0.15">
      <c r="A1" t="s">
        <v>251</v>
      </c>
    </row>
    <row r="2" spans="1:5" x14ac:dyDescent="0.15">
      <c r="A2" s="74" t="s">
        <v>242</v>
      </c>
      <c r="B2" s="74" t="s">
        <v>247</v>
      </c>
      <c r="C2" s="74" t="s">
        <v>248</v>
      </c>
      <c r="D2" s="74" t="s">
        <v>249</v>
      </c>
    </row>
    <row r="3" spans="1:5" x14ac:dyDescent="0.15">
      <c r="A3" s="73" t="s">
        <v>206</v>
      </c>
      <c r="B3" s="73" t="s">
        <v>206</v>
      </c>
      <c r="C3" s="73" t="s">
        <v>206</v>
      </c>
      <c r="D3" s="73" t="s">
        <v>206</v>
      </c>
    </row>
    <row r="4" spans="1:5" x14ac:dyDescent="0.15">
      <c r="A4" s="73" t="s">
        <v>243</v>
      </c>
      <c r="B4" s="73" t="s">
        <v>243</v>
      </c>
      <c r="C4" s="73" t="s">
        <v>243</v>
      </c>
      <c r="D4" s="73" t="s">
        <v>243</v>
      </c>
    </row>
    <row r="5" spans="1:5" x14ac:dyDescent="0.15">
      <c r="A5" s="73" t="s">
        <v>203</v>
      </c>
      <c r="B5" s="73" t="s">
        <v>244</v>
      </c>
      <c r="C5" s="73" t="s">
        <v>244</v>
      </c>
      <c r="D5" s="73" t="s">
        <v>207</v>
      </c>
    </row>
    <row r="6" spans="1:5" x14ac:dyDescent="0.15">
      <c r="A6" s="73" t="s">
        <v>244</v>
      </c>
      <c r="B6" s="73" t="s">
        <v>207</v>
      </c>
      <c r="C6" s="73" t="s">
        <v>250</v>
      </c>
      <c r="D6" s="73" t="s">
        <v>2007</v>
      </c>
    </row>
    <row r="7" spans="1:5" x14ac:dyDescent="0.15">
      <c r="A7" s="73" t="s">
        <v>207</v>
      </c>
      <c r="B7" s="73" t="s">
        <v>2004</v>
      </c>
      <c r="C7" s="73" t="s">
        <v>207</v>
      </c>
      <c r="D7" s="73" t="s">
        <v>2009</v>
      </c>
    </row>
    <row r="8" spans="1:5" x14ac:dyDescent="0.15">
      <c r="A8" s="73" t="s">
        <v>245</v>
      </c>
      <c r="B8" s="73" t="s">
        <v>2005</v>
      </c>
      <c r="C8" s="73" t="s">
        <v>2006</v>
      </c>
      <c r="D8" s="73" t="s">
        <v>246</v>
      </c>
    </row>
    <row r="9" spans="1:5" x14ac:dyDescent="0.15">
      <c r="A9" s="73" t="s">
        <v>246</v>
      </c>
      <c r="B9" s="73" t="s">
        <v>246</v>
      </c>
      <c r="C9" s="73" t="s">
        <v>2008</v>
      </c>
      <c r="D9" s="73"/>
    </row>
    <row r="10" spans="1:5" x14ac:dyDescent="0.15">
      <c r="A10" s="73"/>
      <c r="B10" s="73"/>
      <c r="C10" s="73" t="s">
        <v>246</v>
      </c>
      <c r="D10" s="73"/>
    </row>
    <row r="13" spans="1:5" x14ac:dyDescent="0.15">
      <c r="A13" t="s">
        <v>241</v>
      </c>
    </row>
    <row r="14" spans="1:5" x14ac:dyDescent="0.15">
      <c r="A14" s="74" t="s">
        <v>860</v>
      </c>
      <c r="B14" s="74" t="s">
        <v>4</v>
      </c>
      <c r="C14" s="74" t="s">
        <v>21</v>
      </c>
      <c r="D14" s="74" t="s">
        <v>2239</v>
      </c>
      <c r="E14" s="74" t="s">
        <v>252</v>
      </c>
    </row>
    <row r="15" spans="1:5" x14ac:dyDescent="0.15">
      <c r="A15" s="73" t="s">
        <v>9</v>
      </c>
      <c r="B15" s="73" t="s">
        <v>242</v>
      </c>
      <c r="C15" s="73" t="s">
        <v>206</v>
      </c>
      <c r="D15" s="70" t="str">
        <f>A15&amp;B15&amp;C15</f>
        <v>〇田急傾斜</v>
      </c>
      <c r="E15" s="789">
        <v>21000</v>
      </c>
    </row>
    <row r="16" spans="1:5" x14ac:dyDescent="0.15">
      <c r="A16" s="73" t="s">
        <v>9</v>
      </c>
      <c r="B16" s="73" t="s">
        <v>242</v>
      </c>
      <c r="C16" s="73" t="s">
        <v>243</v>
      </c>
      <c r="D16" s="70" t="str">
        <f t="shared" ref="D16:D22" si="0">A16&amp;B16&amp;C16</f>
        <v>〇田緩傾斜</v>
      </c>
      <c r="E16" s="789">
        <v>8000</v>
      </c>
    </row>
    <row r="17" spans="1:5" x14ac:dyDescent="0.15">
      <c r="A17" s="73" t="s">
        <v>9</v>
      </c>
      <c r="B17" s="73" t="s">
        <v>242</v>
      </c>
      <c r="C17" s="73" t="s">
        <v>203</v>
      </c>
      <c r="D17" s="70" t="str">
        <f t="shared" si="0"/>
        <v>〇田小区画・不整形</v>
      </c>
      <c r="E17" s="789">
        <v>8000</v>
      </c>
    </row>
    <row r="18" spans="1:5" x14ac:dyDescent="0.15">
      <c r="A18" s="73" t="s">
        <v>9</v>
      </c>
      <c r="B18" s="73" t="s">
        <v>242</v>
      </c>
      <c r="C18" s="73" t="s">
        <v>244</v>
      </c>
      <c r="D18" s="70" t="str">
        <f t="shared" si="0"/>
        <v>〇田高齢化・耕作放棄率</v>
      </c>
      <c r="E18" s="789">
        <v>8000</v>
      </c>
    </row>
    <row r="19" spans="1:5" x14ac:dyDescent="0.15">
      <c r="A19" s="73" t="s">
        <v>9</v>
      </c>
      <c r="B19" s="73" t="s">
        <v>242</v>
      </c>
      <c r="C19" s="73" t="s">
        <v>207</v>
      </c>
      <c r="D19" s="70" t="str">
        <f t="shared" si="0"/>
        <v>〇田特認基準</v>
      </c>
      <c r="E19" s="789">
        <v>8000</v>
      </c>
    </row>
    <row r="20" spans="1:5" x14ac:dyDescent="0.15">
      <c r="A20" s="73" t="s">
        <v>9</v>
      </c>
      <c r="B20" s="73" t="s">
        <v>242</v>
      </c>
      <c r="C20" s="73" t="s">
        <v>245</v>
      </c>
      <c r="D20" s="70" t="str">
        <f t="shared" si="0"/>
        <v>〇田交付対象外</v>
      </c>
      <c r="E20" s="789">
        <v>0</v>
      </c>
    </row>
    <row r="21" spans="1:5" x14ac:dyDescent="0.15">
      <c r="A21" s="73" t="s">
        <v>9</v>
      </c>
      <c r="B21" s="73" t="s">
        <v>242</v>
      </c>
      <c r="C21" s="73" t="s">
        <v>246</v>
      </c>
      <c r="D21" s="70" t="str">
        <f t="shared" si="0"/>
        <v>〇田協定に含めない管理すべき農用地</v>
      </c>
      <c r="E21" s="789">
        <v>0</v>
      </c>
    </row>
    <row r="22" spans="1:5" x14ac:dyDescent="0.15">
      <c r="A22" s="73" t="s">
        <v>9</v>
      </c>
      <c r="B22" s="73" t="s">
        <v>247</v>
      </c>
      <c r="C22" s="73" t="s">
        <v>206</v>
      </c>
      <c r="D22" s="70" t="str">
        <f t="shared" si="0"/>
        <v>〇畑急傾斜</v>
      </c>
      <c r="E22" s="789">
        <v>11500</v>
      </c>
    </row>
    <row r="23" spans="1:5" x14ac:dyDescent="0.15">
      <c r="A23" s="73" t="s">
        <v>9</v>
      </c>
      <c r="B23" s="73" t="s">
        <v>247</v>
      </c>
      <c r="C23" s="73" t="s">
        <v>243</v>
      </c>
      <c r="D23" s="70" t="str">
        <f t="shared" ref="D23:D42" si="1">A23&amp;B23&amp;C23</f>
        <v>〇畑緩傾斜</v>
      </c>
      <c r="E23" s="789">
        <v>3500</v>
      </c>
    </row>
    <row r="24" spans="1:5" x14ac:dyDescent="0.15">
      <c r="A24" s="73" t="s">
        <v>9</v>
      </c>
      <c r="B24" s="73" t="s">
        <v>247</v>
      </c>
      <c r="C24" s="73" t="s">
        <v>244</v>
      </c>
      <c r="D24" s="70" t="str">
        <f t="shared" si="1"/>
        <v>〇畑高齢化・耕作放棄率</v>
      </c>
      <c r="E24" s="789">
        <v>3500</v>
      </c>
    </row>
    <row r="25" spans="1:5" x14ac:dyDescent="0.15">
      <c r="A25" s="73" t="s">
        <v>9</v>
      </c>
      <c r="B25" s="73" t="s">
        <v>247</v>
      </c>
      <c r="C25" s="73" t="s">
        <v>207</v>
      </c>
      <c r="D25" s="70" t="str">
        <f t="shared" si="1"/>
        <v>〇畑特認基準</v>
      </c>
      <c r="E25" s="789">
        <v>3500</v>
      </c>
    </row>
    <row r="26" spans="1:5" x14ac:dyDescent="0.15">
      <c r="A26" s="73" t="s">
        <v>9</v>
      </c>
      <c r="B26" s="73" t="s">
        <v>247</v>
      </c>
      <c r="C26" s="73" t="s">
        <v>2004</v>
      </c>
      <c r="D26" s="70" t="str">
        <f t="shared" si="1"/>
        <v>〇畑交付対象外（田畑混在地）</v>
      </c>
      <c r="E26" s="789">
        <v>0</v>
      </c>
    </row>
    <row r="27" spans="1:5" x14ac:dyDescent="0.15">
      <c r="A27" s="73" t="s">
        <v>9</v>
      </c>
      <c r="B27" s="73" t="s">
        <v>247</v>
      </c>
      <c r="C27" s="73" t="s">
        <v>2005</v>
      </c>
      <c r="D27" s="70" t="str">
        <f t="shared" si="1"/>
        <v>〇畑交付対象外（田畑混在地以外）</v>
      </c>
      <c r="E27" s="789">
        <v>0</v>
      </c>
    </row>
    <row r="28" spans="1:5" x14ac:dyDescent="0.15">
      <c r="A28" s="73" t="s">
        <v>9</v>
      </c>
      <c r="B28" s="73" t="s">
        <v>247</v>
      </c>
      <c r="C28" s="73" t="s">
        <v>246</v>
      </c>
      <c r="D28" s="70" t="str">
        <f t="shared" si="1"/>
        <v>〇畑協定に含めない管理すべき農用地</v>
      </c>
      <c r="E28" s="789">
        <v>0</v>
      </c>
    </row>
    <row r="29" spans="1:5" x14ac:dyDescent="0.15">
      <c r="A29" s="73" t="s">
        <v>9</v>
      </c>
      <c r="B29" s="73" t="s">
        <v>248</v>
      </c>
      <c r="C29" s="73" t="s">
        <v>206</v>
      </c>
      <c r="D29" s="70" t="str">
        <f t="shared" si="1"/>
        <v>〇草地急傾斜</v>
      </c>
      <c r="E29" s="789">
        <v>10500</v>
      </c>
    </row>
    <row r="30" spans="1:5" x14ac:dyDescent="0.15">
      <c r="A30" s="73" t="s">
        <v>9</v>
      </c>
      <c r="B30" s="73" t="s">
        <v>248</v>
      </c>
      <c r="C30" s="73" t="s">
        <v>243</v>
      </c>
      <c r="D30" s="70" t="str">
        <f t="shared" si="1"/>
        <v>〇草地緩傾斜</v>
      </c>
      <c r="E30" s="789">
        <v>3000</v>
      </c>
    </row>
    <row r="31" spans="1:5" x14ac:dyDescent="0.15">
      <c r="A31" s="73" t="s">
        <v>9</v>
      </c>
      <c r="B31" s="73" t="s">
        <v>248</v>
      </c>
      <c r="C31" s="73" t="s">
        <v>244</v>
      </c>
      <c r="D31" s="70" t="str">
        <f t="shared" si="1"/>
        <v>〇草地高齢化・耕作放棄率</v>
      </c>
      <c r="E31" s="789">
        <v>3000</v>
      </c>
    </row>
    <row r="32" spans="1:5" x14ac:dyDescent="0.15">
      <c r="A32" s="73" t="s">
        <v>9</v>
      </c>
      <c r="B32" s="73" t="s">
        <v>248</v>
      </c>
      <c r="C32" s="73" t="s">
        <v>250</v>
      </c>
      <c r="D32" s="70" t="str">
        <f t="shared" si="1"/>
        <v>〇草地草地比率の高い草地</v>
      </c>
      <c r="E32" s="789">
        <v>1500</v>
      </c>
    </row>
    <row r="33" spans="1:5" x14ac:dyDescent="0.15">
      <c r="A33" s="73" t="s">
        <v>9</v>
      </c>
      <c r="B33" s="73" t="s">
        <v>248</v>
      </c>
      <c r="C33" s="73" t="s">
        <v>207</v>
      </c>
      <c r="D33" s="70" t="str">
        <f t="shared" si="1"/>
        <v>〇草地特認基準</v>
      </c>
      <c r="E33" s="789">
        <v>3000</v>
      </c>
    </row>
    <row r="34" spans="1:5" x14ac:dyDescent="0.15">
      <c r="A34" s="73" t="s">
        <v>9</v>
      </c>
      <c r="B34" s="73" t="s">
        <v>248</v>
      </c>
      <c r="C34" s="73" t="s">
        <v>2006</v>
      </c>
      <c r="D34" s="70" t="str">
        <f t="shared" si="1"/>
        <v>〇草地交付対象外（田草地混在地）</v>
      </c>
      <c r="E34" s="789">
        <v>0</v>
      </c>
    </row>
    <row r="35" spans="1:5" x14ac:dyDescent="0.15">
      <c r="A35" s="73" t="s">
        <v>9</v>
      </c>
      <c r="B35" s="73" t="s">
        <v>248</v>
      </c>
      <c r="C35" s="73" t="s">
        <v>2008</v>
      </c>
      <c r="D35" s="70" t="str">
        <f t="shared" si="1"/>
        <v>〇草地交付対象外（田草地混在地以外）</v>
      </c>
      <c r="E35" s="789">
        <v>0</v>
      </c>
    </row>
    <row r="36" spans="1:5" x14ac:dyDescent="0.15">
      <c r="A36" s="73" t="s">
        <v>9</v>
      </c>
      <c r="B36" s="73" t="s">
        <v>248</v>
      </c>
      <c r="C36" s="73" t="s">
        <v>246</v>
      </c>
      <c r="D36" s="70" t="str">
        <f t="shared" si="1"/>
        <v>〇草地協定に含めない管理すべき農用地</v>
      </c>
      <c r="E36" s="789">
        <v>0</v>
      </c>
    </row>
    <row r="37" spans="1:5" x14ac:dyDescent="0.15">
      <c r="A37" s="73" t="s">
        <v>9</v>
      </c>
      <c r="B37" s="73" t="s">
        <v>249</v>
      </c>
      <c r="C37" s="73" t="s">
        <v>206</v>
      </c>
      <c r="D37" s="70" t="str">
        <f t="shared" si="1"/>
        <v>〇採草放牧地急傾斜</v>
      </c>
      <c r="E37" s="789">
        <v>1000</v>
      </c>
    </row>
    <row r="38" spans="1:5" x14ac:dyDescent="0.15">
      <c r="A38" s="73" t="s">
        <v>9</v>
      </c>
      <c r="B38" s="73" t="s">
        <v>249</v>
      </c>
      <c r="C38" s="73" t="s">
        <v>243</v>
      </c>
      <c r="D38" s="70" t="str">
        <f t="shared" si="1"/>
        <v>〇採草放牧地緩傾斜</v>
      </c>
      <c r="E38" s="789">
        <v>300</v>
      </c>
    </row>
    <row r="39" spans="1:5" x14ac:dyDescent="0.15">
      <c r="A39" s="73" t="s">
        <v>9</v>
      </c>
      <c r="B39" s="73" t="s">
        <v>249</v>
      </c>
      <c r="C39" s="73" t="s">
        <v>207</v>
      </c>
      <c r="D39" s="70" t="str">
        <f t="shared" si="1"/>
        <v>〇採草放牧地特認基準</v>
      </c>
      <c r="E39" s="789">
        <v>300</v>
      </c>
    </row>
    <row r="40" spans="1:5" x14ac:dyDescent="0.15">
      <c r="A40" s="73" t="s">
        <v>9</v>
      </c>
      <c r="B40" s="73" t="s">
        <v>249</v>
      </c>
      <c r="C40" s="73" t="s">
        <v>2007</v>
      </c>
      <c r="D40" s="70" t="str">
        <f t="shared" si="1"/>
        <v>〇採草放牧地交付対象外（田採草放牧地混在地）</v>
      </c>
      <c r="E40" s="789">
        <v>0</v>
      </c>
    </row>
    <row r="41" spans="1:5" x14ac:dyDescent="0.15">
      <c r="A41" s="73" t="s">
        <v>9</v>
      </c>
      <c r="B41" s="73" t="s">
        <v>249</v>
      </c>
      <c r="C41" s="73" t="s">
        <v>2009</v>
      </c>
      <c r="D41" s="70" t="str">
        <f t="shared" si="1"/>
        <v>〇採草放牧地交付対象外（田採草放牧地混在地以外）</v>
      </c>
      <c r="E41" s="789">
        <v>0</v>
      </c>
    </row>
    <row r="42" spans="1:5" x14ac:dyDescent="0.15">
      <c r="A42" s="73" t="s">
        <v>9</v>
      </c>
      <c r="B42" s="73" t="s">
        <v>249</v>
      </c>
      <c r="C42" s="73" t="s">
        <v>246</v>
      </c>
      <c r="D42" s="70" t="str">
        <f t="shared" si="1"/>
        <v>〇採草放牧地協定に含めない管理すべき農用地</v>
      </c>
      <c r="E42" s="789">
        <v>0</v>
      </c>
    </row>
    <row r="43" spans="1:5" x14ac:dyDescent="0.15">
      <c r="A43" s="73"/>
      <c r="B43" s="73" t="s">
        <v>242</v>
      </c>
      <c r="C43" s="73" t="s">
        <v>206</v>
      </c>
      <c r="D43" s="70" t="str">
        <f>A43&amp;B43&amp;C43</f>
        <v>田急傾斜</v>
      </c>
      <c r="E43" s="789">
        <f t="shared" ref="E43:E48" si="2">E15*0.8</f>
        <v>16800</v>
      </c>
    </row>
    <row r="44" spans="1:5" x14ac:dyDescent="0.15">
      <c r="A44" s="73"/>
      <c r="B44" s="73" t="s">
        <v>242</v>
      </c>
      <c r="C44" s="73" t="s">
        <v>243</v>
      </c>
      <c r="D44" s="70" t="str">
        <f t="shared" ref="D44:D70" si="3">A44&amp;B44&amp;C44</f>
        <v>田緩傾斜</v>
      </c>
      <c r="E44" s="789">
        <f t="shared" si="2"/>
        <v>6400</v>
      </c>
    </row>
    <row r="45" spans="1:5" x14ac:dyDescent="0.15">
      <c r="A45" s="73"/>
      <c r="B45" s="73" t="s">
        <v>242</v>
      </c>
      <c r="C45" s="73" t="s">
        <v>203</v>
      </c>
      <c r="D45" s="70" t="str">
        <f t="shared" si="3"/>
        <v>田小区画・不整形</v>
      </c>
      <c r="E45" s="789">
        <f t="shared" si="2"/>
        <v>6400</v>
      </c>
    </row>
    <row r="46" spans="1:5" x14ac:dyDescent="0.15">
      <c r="A46" s="73"/>
      <c r="B46" s="73" t="s">
        <v>242</v>
      </c>
      <c r="C46" s="73" t="s">
        <v>244</v>
      </c>
      <c r="D46" s="70" t="str">
        <f t="shared" si="3"/>
        <v>田高齢化・耕作放棄率</v>
      </c>
      <c r="E46" s="789">
        <f t="shared" si="2"/>
        <v>6400</v>
      </c>
    </row>
    <row r="47" spans="1:5" x14ac:dyDescent="0.15">
      <c r="A47" s="73"/>
      <c r="B47" s="73" t="s">
        <v>242</v>
      </c>
      <c r="C47" s="73" t="s">
        <v>207</v>
      </c>
      <c r="D47" s="70" t="str">
        <f t="shared" si="3"/>
        <v>田特認基準</v>
      </c>
      <c r="E47" s="789">
        <f t="shared" si="2"/>
        <v>6400</v>
      </c>
    </row>
    <row r="48" spans="1:5" x14ac:dyDescent="0.15">
      <c r="A48" s="73"/>
      <c r="B48" s="73" t="s">
        <v>242</v>
      </c>
      <c r="C48" s="73" t="s">
        <v>245</v>
      </c>
      <c r="D48" s="70" t="str">
        <f t="shared" si="3"/>
        <v>田交付対象外</v>
      </c>
      <c r="E48" s="789">
        <f t="shared" si="2"/>
        <v>0</v>
      </c>
    </row>
    <row r="49" spans="1:5" x14ac:dyDescent="0.15">
      <c r="A49" s="73"/>
      <c r="B49" s="73" t="s">
        <v>242</v>
      </c>
      <c r="C49" s="73" t="s">
        <v>246</v>
      </c>
      <c r="D49" s="70" t="str">
        <f t="shared" si="3"/>
        <v>田協定に含めない管理すべき農用地</v>
      </c>
      <c r="E49" s="789">
        <v>0</v>
      </c>
    </row>
    <row r="50" spans="1:5" x14ac:dyDescent="0.15">
      <c r="A50" s="73"/>
      <c r="B50" s="73" t="s">
        <v>247</v>
      </c>
      <c r="C50" s="73" t="s">
        <v>206</v>
      </c>
      <c r="D50" s="70" t="str">
        <f t="shared" si="3"/>
        <v>畑急傾斜</v>
      </c>
      <c r="E50" s="789">
        <f t="shared" ref="E50:E70" si="4">E22*0.8</f>
        <v>9200</v>
      </c>
    </row>
    <row r="51" spans="1:5" x14ac:dyDescent="0.15">
      <c r="A51" s="73"/>
      <c r="B51" s="73" t="s">
        <v>247</v>
      </c>
      <c r="C51" s="73" t="s">
        <v>243</v>
      </c>
      <c r="D51" s="70" t="str">
        <f t="shared" si="3"/>
        <v>畑緩傾斜</v>
      </c>
      <c r="E51" s="789">
        <f t="shared" si="4"/>
        <v>2800</v>
      </c>
    </row>
    <row r="52" spans="1:5" x14ac:dyDescent="0.15">
      <c r="A52" s="73"/>
      <c r="B52" s="73" t="s">
        <v>247</v>
      </c>
      <c r="C52" s="73" t="s">
        <v>244</v>
      </c>
      <c r="D52" s="70" t="str">
        <f t="shared" si="3"/>
        <v>畑高齢化・耕作放棄率</v>
      </c>
      <c r="E52" s="789">
        <f t="shared" si="4"/>
        <v>2800</v>
      </c>
    </row>
    <row r="53" spans="1:5" x14ac:dyDescent="0.15">
      <c r="A53" s="73"/>
      <c r="B53" s="73" t="s">
        <v>247</v>
      </c>
      <c r="C53" s="73" t="s">
        <v>207</v>
      </c>
      <c r="D53" s="70" t="str">
        <f t="shared" si="3"/>
        <v>畑特認基準</v>
      </c>
      <c r="E53" s="789">
        <f t="shared" si="4"/>
        <v>2800</v>
      </c>
    </row>
    <row r="54" spans="1:5" x14ac:dyDescent="0.15">
      <c r="A54" s="73"/>
      <c r="B54" s="73" t="s">
        <v>247</v>
      </c>
      <c r="C54" s="73" t="s">
        <v>2004</v>
      </c>
      <c r="D54" s="70" t="str">
        <f t="shared" si="3"/>
        <v>畑交付対象外（田畑混在地）</v>
      </c>
      <c r="E54" s="789">
        <f t="shared" si="4"/>
        <v>0</v>
      </c>
    </row>
    <row r="55" spans="1:5" x14ac:dyDescent="0.15">
      <c r="A55" s="73"/>
      <c r="B55" s="73" t="s">
        <v>247</v>
      </c>
      <c r="C55" s="73" t="s">
        <v>2005</v>
      </c>
      <c r="D55" s="70" t="str">
        <f t="shared" si="3"/>
        <v>畑交付対象外（田畑混在地以外）</v>
      </c>
      <c r="E55" s="789">
        <f t="shared" si="4"/>
        <v>0</v>
      </c>
    </row>
    <row r="56" spans="1:5" x14ac:dyDescent="0.15">
      <c r="A56" s="73"/>
      <c r="B56" s="73" t="s">
        <v>247</v>
      </c>
      <c r="C56" s="73" t="s">
        <v>246</v>
      </c>
      <c r="D56" s="70" t="str">
        <f t="shared" si="3"/>
        <v>畑協定に含めない管理すべき農用地</v>
      </c>
      <c r="E56" s="789">
        <f t="shared" si="4"/>
        <v>0</v>
      </c>
    </row>
    <row r="57" spans="1:5" x14ac:dyDescent="0.15">
      <c r="A57" s="73"/>
      <c r="B57" s="73" t="s">
        <v>248</v>
      </c>
      <c r="C57" s="73" t="s">
        <v>206</v>
      </c>
      <c r="D57" s="70" t="str">
        <f t="shared" si="3"/>
        <v>草地急傾斜</v>
      </c>
      <c r="E57" s="789">
        <f t="shared" si="4"/>
        <v>8400</v>
      </c>
    </row>
    <row r="58" spans="1:5" x14ac:dyDescent="0.15">
      <c r="A58" s="73"/>
      <c r="B58" s="73" t="s">
        <v>248</v>
      </c>
      <c r="C58" s="73" t="s">
        <v>243</v>
      </c>
      <c r="D58" s="70" t="str">
        <f t="shared" si="3"/>
        <v>草地緩傾斜</v>
      </c>
      <c r="E58" s="789">
        <f t="shared" si="4"/>
        <v>2400</v>
      </c>
    </row>
    <row r="59" spans="1:5" x14ac:dyDescent="0.15">
      <c r="A59" s="73"/>
      <c r="B59" s="73" t="s">
        <v>248</v>
      </c>
      <c r="C59" s="73" t="s">
        <v>244</v>
      </c>
      <c r="D59" s="70" t="str">
        <f t="shared" si="3"/>
        <v>草地高齢化・耕作放棄率</v>
      </c>
      <c r="E59" s="789">
        <f t="shared" si="4"/>
        <v>2400</v>
      </c>
    </row>
    <row r="60" spans="1:5" x14ac:dyDescent="0.15">
      <c r="A60" s="73"/>
      <c r="B60" s="73" t="s">
        <v>248</v>
      </c>
      <c r="C60" s="73" t="s">
        <v>250</v>
      </c>
      <c r="D60" s="70" t="str">
        <f t="shared" si="3"/>
        <v>草地草地比率の高い草地</v>
      </c>
      <c r="E60" s="789">
        <f t="shared" si="4"/>
        <v>1200</v>
      </c>
    </row>
    <row r="61" spans="1:5" x14ac:dyDescent="0.15">
      <c r="A61" s="73"/>
      <c r="B61" s="73" t="s">
        <v>248</v>
      </c>
      <c r="C61" s="73" t="s">
        <v>207</v>
      </c>
      <c r="D61" s="70" t="str">
        <f t="shared" si="3"/>
        <v>草地特認基準</v>
      </c>
      <c r="E61" s="789">
        <f t="shared" si="4"/>
        <v>2400</v>
      </c>
    </row>
    <row r="62" spans="1:5" x14ac:dyDescent="0.15">
      <c r="A62" s="73"/>
      <c r="B62" s="73" t="s">
        <v>248</v>
      </c>
      <c r="C62" s="73" t="s">
        <v>2006</v>
      </c>
      <c r="D62" s="70" t="str">
        <f t="shared" si="3"/>
        <v>草地交付対象外（田草地混在地）</v>
      </c>
      <c r="E62" s="789">
        <f t="shared" si="4"/>
        <v>0</v>
      </c>
    </row>
    <row r="63" spans="1:5" x14ac:dyDescent="0.15">
      <c r="A63" s="73"/>
      <c r="B63" s="73" t="s">
        <v>248</v>
      </c>
      <c r="C63" s="73" t="s">
        <v>2008</v>
      </c>
      <c r="D63" s="70" t="str">
        <f t="shared" si="3"/>
        <v>草地交付対象外（田草地混在地以外）</v>
      </c>
      <c r="E63" s="789">
        <f t="shared" si="4"/>
        <v>0</v>
      </c>
    </row>
    <row r="64" spans="1:5" x14ac:dyDescent="0.15">
      <c r="A64" s="73"/>
      <c r="B64" s="73" t="s">
        <v>248</v>
      </c>
      <c r="C64" s="73" t="s">
        <v>246</v>
      </c>
      <c r="D64" s="70" t="str">
        <f t="shared" si="3"/>
        <v>草地協定に含めない管理すべき農用地</v>
      </c>
      <c r="E64" s="789">
        <f t="shared" si="4"/>
        <v>0</v>
      </c>
    </row>
    <row r="65" spans="1:5" x14ac:dyDescent="0.15">
      <c r="A65" s="73"/>
      <c r="B65" s="73" t="s">
        <v>249</v>
      </c>
      <c r="C65" s="73" t="s">
        <v>206</v>
      </c>
      <c r="D65" s="70" t="str">
        <f t="shared" si="3"/>
        <v>採草放牧地急傾斜</v>
      </c>
      <c r="E65" s="789">
        <f t="shared" si="4"/>
        <v>800</v>
      </c>
    </row>
    <row r="66" spans="1:5" x14ac:dyDescent="0.15">
      <c r="A66" s="73"/>
      <c r="B66" s="73" t="s">
        <v>249</v>
      </c>
      <c r="C66" s="73" t="s">
        <v>243</v>
      </c>
      <c r="D66" s="70" t="str">
        <f t="shared" si="3"/>
        <v>採草放牧地緩傾斜</v>
      </c>
      <c r="E66" s="789">
        <f t="shared" si="4"/>
        <v>240</v>
      </c>
    </row>
    <row r="67" spans="1:5" x14ac:dyDescent="0.15">
      <c r="A67" s="73"/>
      <c r="B67" s="73" t="s">
        <v>249</v>
      </c>
      <c r="C67" s="73" t="s">
        <v>207</v>
      </c>
      <c r="D67" s="70" t="str">
        <f t="shared" si="3"/>
        <v>採草放牧地特認基準</v>
      </c>
      <c r="E67" s="789">
        <f t="shared" si="4"/>
        <v>240</v>
      </c>
    </row>
    <row r="68" spans="1:5" x14ac:dyDescent="0.15">
      <c r="A68" s="73"/>
      <c r="B68" s="73" t="s">
        <v>249</v>
      </c>
      <c r="C68" s="73" t="s">
        <v>2007</v>
      </c>
      <c r="D68" s="70" t="str">
        <f t="shared" si="3"/>
        <v>採草放牧地交付対象外（田採草放牧地混在地）</v>
      </c>
      <c r="E68" s="789">
        <f t="shared" si="4"/>
        <v>0</v>
      </c>
    </row>
    <row r="69" spans="1:5" x14ac:dyDescent="0.15">
      <c r="A69" s="73"/>
      <c r="B69" s="73" t="s">
        <v>249</v>
      </c>
      <c r="C69" s="73" t="s">
        <v>2009</v>
      </c>
      <c r="D69" s="70" t="str">
        <f t="shared" si="3"/>
        <v>採草放牧地交付対象外（田採草放牧地混在地以外）</v>
      </c>
      <c r="E69" s="789">
        <f t="shared" si="4"/>
        <v>0</v>
      </c>
    </row>
    <row r="70" spans="1:5" x14ac:dyDescent="0.15">
      <c r="A70" s="73"/>
      <c r="B70" s="73" t="s">
        <v>249</v>
      </c>
      <c r="C70" s="73" t="s">
        <v>246</v>
      </c>
      <c r="D70" s="70" t="str">
        <f t="shared" si="3"/>
        <v>採草放牧地協定に含めない管理すべき農用地</v>
      </c>
      <c r="E70" s="789">
        <f t="shared" si="4"/>
        <v>0</v>
      </c>
    </row>
    <row r="74" spans="1:5" x14ac:dyDescent="0.15">
      <c r="A74" t="s">
        <v>260</v>
      </c>
    </row>
    <row r="75" spans="1:5" x14ac:dyDescent="0.15">
      <c r="A75" s="73" t="s">
        <v>342</v>
      </c>
    </row>
    <row r="76" spans="1:5" x14ac:dyDescent="0.15">
      <c r="A76" s="73" t="s">
        <v>866</v>
      </c>
    </row>
    <row r="77" spans="1:5" x14ac:dyDescent="0.15">
      <c r="A77" s="75" t="s">
        <v>867</v>
      </c>
    </row>
    <row r="78" spans="1:5" x14ac:dyDescent="0.15">
      <c r="A78" s="75" t="s">
        <v>868</v>
      </c>
    </row>
    <row r="79" spans="1:5" x14ac:dyDescent="0.15">
      <c r="A79" s="73" t="s">
        <v>261</v>
      </c>
    </row>
    <row r="80" spans="1:5" x14ac:dyDescent="0.15">
      <c r="A80" s="73" t="s">
        <v>343</v>
      </c>
    </row>
    <row r="81" spans="1:1" x14ac:dyDescent="0.15">
      <c r="A81" s="73"/>
    </row>
    <row r="82" spans="1:1" x14ac:dyDescent="0.15">
      <c r="A82" s="73"/>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E29"/>
  <sheetViews>
    <sheetView showGridLines="0" tabSelected="1" view="pageBreakPreview" zoomScale="90" zoomScaleNormal="90" zoomScaleSheetLayoutView="90" workbookViewId="0">
      <selection activeCell="S8" sqref="S8"/>
    </sheetView>
  </sheetViews>
  <sheetFormatPr defaultColWidth="9" defaultRowHeight="14.25" x14ac:dyDescent="0.15"/>
  <cols>
    <col min="1" max="1" width="5.5" style="63" customWidth="1"/>
    <col min="2" max="2" width="6.375" style="1092" customWidth="1"/>
    <col min="3" max="3" width="4.125" style="63" customWidth="1"/>
    <col min="4" max="4" width="40.875" style="63" customWidth="1"/>
    <col min="5" max="5" width="6" style="63" customWidth="1"/>
    <col min="6" max="6" width="24" style="63" customWidth="1"/>
    <col min="7" max="7" width="5.5" style="63" customWidth="1"/>
    <col min="8" max="12" width="4.25" style="63" customWidth="1"/>
    <col min="13" max="18" width="2.625" style="63" customWidth="1"/>
    <col min="19" max="16384" width="9" style="63"/>
  </cols>
  <sheetData>
    <row r="1" spans="1:31" ht="27.75" customHeight="1" x14ac:dyDescent="0.15">
      <c r="A1" s="327" t="s">
        <v>1930</v>
      </c>
      <c r="R1" s="68"/>
      <c r="S1" s="68"/>
      <c r="AE1" s="63" t="s">
        <v>9</v>
      </c>
    </row>
    <row r="2" spans="1:31" ht="27.75" customHeight="1" x14ac:dyDescent="0.15">
      <c r="A2" s="89"/>
      <c r="F2" s="722"/>
      <c r="R2" s="68"/>
      <c r="S2" s="68"/>
    </row>
    <row r="3" spans="1:31" ht="27.75" customHeight="1" x14ac:dyDescent="0.15">
      <c r="A3" s="89"/>
      <c r="F3" s="742" t="s">
        <v>1931</v>
      </c>
      <c r="R3" s="68"/>
      <c r="S3" s="68"/>
    </row>
    <row r="4" spans="1:31" s="725" customFormat="1" ht="25.5" customHeight="1" x14ac:dyDescent="0.15">
      <c r="A4" s="1176" t="s">
        <v>1983</v>
      </c>
      <c r="B4" s="1176"/>
      <c r="C4" s="723" t="s">
        <v>1978</v>
      </c>
      <c r="D4" s="724"/>
      <c r="F4" s="226"/>
      <c r="G4" s="63"/>
      <c r="H4" s="63"/>
    </row>
    <row r="5" spans="1:31" ht="24" customHeight="1" x14ac:dyDescent="0.15">
      <c r="A5" s="726"/>
      <c r="B5" s="1093"/>
      <c r="C5" s="726"/>
      <c r="D5" s="726"/>
      <c r="E5" s="909"/>
      <c r="F5" s="1089" t="str">
        <f>はじめに!D5&amp;""</f>
        <v>真庭集落協定</v>
      </c>
    </row>
    <row r="6" spans="1:31" ht="24" customHeight="1" x14ac:dyDescent="0.15">
      <c r="A6" s="726"/>
      <c r="B6" s="1093"/>
      <c r="C6" s="726"/>
      <c r="D6" s="726"/>
      <c r="E6" s="1091" t="s">
        <v>2433</v>
      </c>
      <c r="F6" s="1090" t="str">
        <f>はじめに!D6&amp;""</f>
        <v>真庭　太郎</v>
      </c>
    </row>
    <row r="7" spans="1:31" ht="26.25" customHeight="1" x14ac:dyDescent="0.15">
      <c r="A7" s="726"/>
      <c r="B7" s="1093"/>
      <c r="C7" s="726"/>
      <c r="D7" s="726"/>
      <c r="F7" s="226"/>
    </row>
    <row r="8" spans="1:31" s="725" customFormat="1" ht="25.5" customHeight="1" x14ac:dyDescent="0.15">
      <c r="A8" s="1177" t="s">
        <v>2361</v>
      </c>
      <c r="B8" s="1177"/>
      <c r="C8" s="1177"/>
      <c r="D8" s="1177"/>
      <c r="E8" s="1177"/>
      <c r="F8" s="1177"/>
      <c r="G8" s="1177"/>
      <c r="H8" s="63"/>
    </row>
    <row r="9" spans="1:31" s="725" customFormat="1" ht="25.5" customHeight="1" x14ac:dyDescent="0.15">
      <c r="A9" s="727"/>
      <c r="B9" s="1094"/>
      <c r="C9" s="226"/>
      <c r="D9" s="226"/>
      <c r="F9" s="226"/>
      <c r="G9" s="63"/>
      <c r="H9" s="63"/>
    </row>
    <row r="10" spans="1:31" s="728" customFormat="1" ht="45.75" customHeight="1" x14ac:dyDescent="0.15">
      <c r="A10" s="1178" t="s">
        <v>2362</v>
      </c>
      <c r="B10" s="1178"/>
      <c r="C10" s="1178"/>
      <c r="D10" s="1178"/>
      <c r="E10" s="1178"/>
      <c r="F10" s="1178"/>
      <c r="G10" s="1178"/>
    </row>
    <row r="11" spans="1:31" s="728" customFormat="1" ht="18" customHeight="1" x14ac:dyDescent="0.15">
      <c r="B11" s="1095"/>
    </row>
    <row r="12" spans="1:31" s="725" customFormat="1" ht="25.5" customHeight="1" x14ac:dyDescent="0.15">
      <c r="A12" s="1179"/>
      <c r="B12" s="1179"/>
      <c r="C12" s="1179"/>
      <c r="D12" s="1179"/>
      <c r="E12" s="1179"/>
      <c r="F12" s="1179"/>
      <c r="G12" s="1179"/>
      <c r="H12" s="63"/>
      <c r="I12" s="63"/>
      <c r="J12" s="63"/>
      <c r="K12" s="63"/>
    </row>
    <row r="13" spans="1:31" s="728" customFormat="1" ht="24.75" customHeight="1" x14ac:dyDescent="0.15">
      <c r="A13" s="728" t="s">
        <v>1933</v>
      </c>
      <c r="B13" s="1095"/>
    </row>
    <row r="14" spans="1:31" s="725" customFormat="1" ht="24.75" customHeight="1" x14ac:dyDescent="0.15">
      <c r="A14" s="1180"/>
      <c r="B14" s="1180"/>
      <c r="C14" s="1180"/>
      <c r="D14" s="1180"/>
      <c r="E14" s="1180"/>
      <c r="F14" s="1180"/>
      <c r="G14" s="1180"/>
      <c r="H14" s="69"/>
      <c r="I14" s="69"/>
      <c r="J14" s="69"/>
      <c r="K14" s="69"/>
    </row>
    <row r="15" spans="1:31" s="728" customFormat="1" ht="24.75" customHeight="1" x14ac:dyDescent="0.15">
      <c r="A15" s="728" t="s">
        <v>1934</v>
      </c>
      <c r="B15" s="1095"/>
    </row>
    <row r="16" spans="1:31" ht="24.75" customHeight="1" x14ac:dyDescent="0.15">
      <c r="B16" s="1096" t="s">
        <v>30</v>
      </c>
      <c r="C16" s="89" t="s">
        <v>1935</v>
      </c>
      <c r="D16" s="107"/>
      <c r="F16" s="107"/>
    </row>
    <row r="17" spans="1:7" ht="24.75" customHeight="1" x14ac:dyDescent="0.15">
      <c r="B17" s="1096" t="s">
        <v>1984</v>
      </c>
      <c r="C17" s="1172" t="s">
        <v>1936</v>
      </c>
      <c r="D17" s="1172"/>
      <c r="E17" s="1172"/>
      <c r="F17" s="1172"/>
    </row>
    <row r="18" spans="1:7" ht="24.75" customHeight="1" x14ac:dyDescent="0.15">
      <c r="B18" s="1096" t="s">
        <v>30</v>
      </c>
      <c r="C18" s="1172" t="s">
        <v>1937</v>
      </c>
      <c r="D18" s="1172"/>
      <c r="E18" s="1172"/>
      <c r="F18" s="1172"/>
    </row>
    <row r="19" spans="1:7" ht="24.75" customHeight="1" x14ac:dyDescent="0.15">
      <c r="A19" s="1173"/>
      <c r="B19" s="1173"/>
      <c r="C19" s="1173"/>
      <c r="D19" s="1173"/>
      <c r="E19" s="1173"/>
      <c r="F19" s="1173"/>
      <c r="G19" s="1173"/>
    </row>
    <row r="20" spans="1:7" s="728" customFormat="1" ht="24.75" customHeight="1" x14ac:dyDescent="0.15">
      <c r="A20" s="728" t="s">
        <v>1938</v>
      </c>
      <c r="B20" s="1095"/>
    </row>
    <row r="21" spans="1:7" s="728" customFormat="1" ht="24.75" customHeight="1" x14ac:dyDescent="0.15">
      <c r="B21" s="1096" t="s">
        <v>30</v>
      </c>
      <c r="C21" s="1174" t="s">
        <v>1939</v>
      </c>
      <c r="D21" s="1174"/>
      <c r="E21" s="1174"/>
      <c r="F21" s="1174"/>
    </row>
    <row r="22" spans="1:7" s="728" customFormat="1" ht="24.75" customHeight="1" x14ac:dyDescent="0.15">
      <c r="B22" s="1096"/>
      <c r="C22" s="729"/>
      <c r="D22" s="729"/>
      <c r="F22" s="729"/>
    </row>
    <row r="23" spans="1:7" s="728" customFormat="1" ht="72" customHeight="1" x14ac:dyDescent="0.15">
      <c r="B23" s="1175" t="s">
        <v>1940</v>
      </c>
      <c r="C23" s="1175"/>
      <c r="D23" s="1175"/>
      <c r="E23" s="1175"/>
      <c r="F23" s="1175"/>
      <c r="G23" s="730"/>
    </row>
    <row r="24" spans="1:7" s="728" customFormat="1" ht="9.75" customHeight="1" x14ac:dyDescent="0.15">
      <c r="B24" s="1097"/>
      <c r="C24" s="729"/>
      <c r="D24" s="729"/>
    </row>
    <row r="25" spans="1:7" ht="25.5" customHeight="1" x14ac:dyDescent="0.15">
      <c r="B25" s="1096" t="s">
        <v>30</v>
      </c>
      <c r="C25" s="63" t="s">
        <v>1941</v>
      </c>
    </row>
    <row r="26" spans="1:7" ht="25.5" customHeight="1" x14ac:dyDescent="0.15">
      <c r="B26" s="1096"/>
    </row>
    <row r="27" spans="1:7" ht="25.5" customHeight="1" x14ac:dyDescent="0.15"/>
    <row r="28" spans="1:7" ht="25.5" customHeight="1" x14ac:dyDescent="0.15">
      <c r="A28" s="139"/>
    </row>
    <row r="29" spans="1:7" ht="25.5" customHeight="1" x14ac:dyDescent="0.15"/>
  </sheetData>
  <mergeCells count="10">
    <mergeCell ref="C18:F18"/>
    <mergeCell ref="A19:G19"/>
    <mergeCell ref="C21:F21"/>
    <mergeCell ref="B23:F23"/>
    <mergeCell ref="A4:B4"/>
    <mergeCell ref="A8:G8"/>
    <mergeCell ref="A10:G10"/>
    <mergeCell ref="A12:G12"/>
    <mergeCell ref="A14:G14"/>
    <mergeCell ref="C17:F17"/>
  </mergeCells>
  <phoneticPr fontId="3"/>
  <dataValidations count="2">
    <dataValidation type="list" allowBlank="1" showInputMessage="1" showErrorMessage="1" sqref="B22 B24 B26">
      <formula1>A.■か□</formula1>
    </dataValidation>
    <dataValidation type="list" allowBlank="1"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scale="96" fitToWidth="0" fitToHeight="0" orientation="portrait" r:id="rId1"/>
  <headerFooter alignWithMargins="0"/>
  <colBreaks count="1" manualBreakCount="1">
    <brk id="18" max="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51"/>
  <sheetViews>
    <sheetView showGridLines="0" tabSelected="1" view="pageBreakPreview" topLeftCell="A19" zoomScaleNormal="100" zoomScaleSheetLayoutView="100" workbookViewId="0">
      <selection activeCell="S8" sqref="S8"/>
    </sheetView>
  </sheetViews>
  <sheetFormatPr defaultColWidth="9" defaultRowHeight="18" customHeight="1" x14ac:dyDescent="0.15"/>
  <cols>
    <col min="1" max="4" width="2.625" style="731" customWidth="1"/>
    <col min="5" max="5" width="5" style="731" customWidth="1"/>
    <col min="6" max="6" width="38.875" style="731" customWidth="1"/>
    <col min="7" max="7" width="23.625" style="731" customWidth="1"/>
    <col min="8" max="8" width="4.625" style="731" customWidth="1"/>
    <col min="9" max="9" width="3.5" style="731" customWidth="1"/>
    <col min="10" max="10" width="9" style="731"/>
    <col min="11" max="11" width="5.75" style="731" customWidth="1"/>
    <col min="12" max="16384" width="9" style="731"/>
  </cols>
  <sheetData>
    <row r="1" spans="1:8" ht="18" customHeight="1" x14ac:dyDescent="0.15">
      <c r="A1" s="89"/>
    </row>
    <row r="3" spans="1:8" ht="18" customHeight="1" x14ac:dyDescent="0.15">
      <c r="A3" s="1191" t="s">
        <v>1942</v>
      </c>
      <c r="B3" s="1191"/>
      <c r="C3" s="1191"/>
      <c r="D3" s="1191"/>
      <c r="E3" s="1191"/>
      <c r="F3" s="1191"/>
      <c r="G3" s="1191"/>
      <c r="H3" s="1191"/>
    </row>
    <row r="5" spans="1:8" ht="24.95" customHeight="1" x14ac:dyDescent="0.15">
      <c r="G5" s="1192" t="str">
        <f>参４_申請!F3</f>
        <v>年　　月　　日</v>
      </c>
      <c r="H5" s="1192"/>
    </row>
    <row r="6" spans="1:8" ht="24.95" customHeight="1" x14ac:dyDescent="0.15">
      <c r="G6" s="1193" t="str">
        <f>はじめに!D5&amp;""</f>
        <v>真庭集落協定</v>
      </c>
      <c r="H6" s="1193"/>
    </row>
    <row r="7" spans="1:8" ht="9.75" customHeight="1" x14ac:dyDescent="0.15"/>
    <row r="8" spans="1:8" ht="18" customHeight="1" x14ac:dyDescent="0.15">
      <c r="A8" s="732" t="s">
        <v>1943</v>
      </c>
      <c r="B8" s="732"/>
    </row>
    <row r="9" spans="1:8" ht="15.2" customHeight="1" x14ac:dyDescent="0.15">
      <c r="A9" s="732"/>
      <c r="B9" s="732"/>
    </row>
    <row r="10" spans="1:8" ht="18" customHeight="1" x14ac:dyDescent="0.15">
      <c r="A10" s="731" t="s">
        <v>1944</v>
      </c>
    </row>
    <row r="11" spans="1:8" ht="30.6" customHeight="1" x14ac:dyDescent="0.15">
      <c r="B11" s="1181" t="s">
        <v>1945</v>
      </c>
      <c r="C11" s="1181"/>
      <c r="D11" s="1181"/>
      <c r="E11" s="1181"/>
      <c r="F11" s="1181"/>
      <c r="G11" s="1181"/>
      <c r="H11" s="1181"/>
    </row>
    <row r="12" spans="1:8" ht="15.2" customHeight="1" x14ac:dyDescent="0.15">
      <c r="B12" s="733"/>
      <c r="C12" s="733"/>
      <c r="D12" s="733"/>
      <c r="E12" s="733"/>
      <c r="F12" s="733"/>
      <c r="G12" s="733"/>
      <c r="H12" s="733"/>
    </row>
    <row r="13" spans="1:8" ht="18" customHeight="1" x14ac:dyDescent="0.15">
      <c r="A13" s="731" t="s">
        <v>1946</v>
      </c>
    </row>
    <row r="14" spans="1:8" ht="30.6" customHeight="1" x14ac:dyDescent="0.15">
      <c r="B14" s="1181" t="s">
        <v>1947</v>
      </c>
      <c r="C14" s="1181"/>
      <c r="D14" s="1181"/>
      <c r="E14" s="1181"/>
      <c r="F14" s="1181"/>
      <c r="G14" s="1181"/>
      <c r="H14" s="1181"/>
    </row>
    <row r="15" spans="1:8" ht="15.2" customHeight="1" x14ac:dyDescent="0.15">
      <c r="B15" s="734"/>
      <c r="C15" s="735"/>
      <c r="D15" s="734"/>
      <c r="E15" s="734"/>
      <c r="F15" s="734"/>
      <c r="G15" s="734"/>
      <c r="H15" s="734"/>
    </row>
    <row r="16" spans="1:8" ht="18" customHeight="1" x14ac:dyDescent="0.15">
      <c r="A16" s="732" t="s">
        <v>1948</v>
      </c>
      <c r="B16" s="732"/>
    </row>
    <row r="17" spans="1:8" ht="18" customHeight="1" x14ac:dyDescent="0.15">
      <c r="A17" s="731" t="s">
        <v>1949</v>
      </c>
    </row>
    <row r="18" spans="1:8" ht="18" customHeight="1" x14ac:dyDescent="0.15">
      <c r="A18" s="731" t="s">
        <v>1950</v>
      </c>
    </row>
    <row r="19" spans="1:8" ht="18" customHeight="1" x14ac:dyDescent="0.15">
      <c r="C19" s="1194" t="s">
        <v>1951</v>
      </c>
      <c r="D19" s="1195"/>
      <c r="E19" s="1195"/>
      <c r="F19" s="1195"/>
      <c r="G19" s="1195"/>
      <c r="H19" s="1196"/>
    </row>
    <row r="20" spans="1:8" ht="36" customHeight="1" x14ac:dyDescent="0.15">
      <c r="C20" s="1197"/>
      <c r="D20" s="1198"/>
      <c r="E20" s="1203"/>
      <c r="F20" s="1204" t="s">
        <v>1952</v>
      </c>
      <c r="G20" s="1204"/>
      <c r="H20" s="1204"/>
    </row>
    <row r="21" spans="1:8" ht="40.5" customHeight="1" x14ac:dyDescent="0.15">
      <c r="C21" s="1199"/>
      <c r="D21" s="1200"/>
      <c r="E21" s="1203"/>
      <c r="F21" s="1204"/>
      <c r="G21" s="1204"/>
      <c r="H21" s="1204"/>
    </row>
    <row r="22" spans="1:8" ht="18" customHeight="1" x14ac:dyDescent="0.15">
      <c r="C22" s="1199"/>
      <c r="D22" s="1200"/>
      <c r="E22" s="1203"/>
      <c r="F22" s="1204" t="s">
        <v>1953</v>
      </c>
      <c r="G22" s="1204"/>
      <c r="H22" s="1204"/>
    </row>
    <row r="23" spans="1:8" ht="27.75" customHeight="1" x14ac:dyDescent="0.15">
      <c r="C23" s="1201"/>
      <c r="D23" s="1202"/>
      <c r="E23" s="1203"/>
      <c r="F23" s="1204"/>
      <c r="G23" s="1204"/>
      <c r="H23" s="1204"/>
    </row>
    <row r="24" spans="1:8" s="736" customFormat="1" ht="24.95" customHeight="1" x14ac:dyDescent="0.15">
      <c r="C24" s="1189" t="s">
        <v>96</v>
      </c>
      <c r="D24" s="1190"/>
      <c r="E24" s="1186" t="s">
        <v>1954</v>
      </c>
      <c r="F24" s="1186"/>
      <c r="G24" s="1186"/>
      <c r="H24" s="1186"/>
    </row>
    <row r="25" spans="1:8" s="736" customFormat="1" ht="24.95" customHeight="1" x14ac:dyDescent="0.15">
      <c r="C25" s="1184"/>
      <c r="D25" s="1185"/>
      <c r="E25" s="1186" t="s">
        <v>1955</v>
      </c>
      <c r="F25" s="1186"/>
      <c r="G25" s="1186"/>
      <c r="H25" s="1186"/>
    </row>
    <row r="26" spans="1:8" s="736" customFormat="1" ht="24.95" customHeight="1" x14ac:dyDescent="0.15">
      <c r="C26" s="1184"/>
      <c r="D26" s="1185"/>
      <c r="E26" s="1186" t="s">
        <v>1956</v>
      </c>
      <c r="F26" s="1186"/>
      <c r="G26" s="1186"/>
      <c r="H26" s="1186"/>
    </row>
    <row r="27" spans="1:8" ht="15.2" customHeight="1" x14ac:dyDescent="0.15">
      <c r="C27" s="737"/>
      <c r="D27" s="737"/>
    </row>
    <row r="28" spans="1:8" ht="18" customHeight="1" x14ac:dyDescent="0.15">
      <c r="A28" s="731" t="s">
        <v>1957</v>
      </c>
    </row>
    <row r="29" spans="1:8" ht="18" customHeight="1" x14ac:dyDescent="0.15">
      <c r="C29" s="1181" t="s">
        <v>2363</v>
      </c>
      <c r="D29" s="1181"/>
      <c r="E29" s="1181"/>
      <c r="F29" s="1181"/>
      <c r="G29" s="1181"/>
      <c r="H29" s="1181"/>
    </row>
    <row r="30" spans="1:8" ht="18" customHeight="1" x14ac:dyDescent="0.15">
      <c r="C30" s="1181"/>
      <c r="D30" s="1181"/>
      <c r="E30" s="1181"/>
      <c r="F30" s="1181"/>
      <c r="G30" s="1181"/>
      <c r="H30" s="1181"/>
    </row>
    <row r="31" spans="1:8" ht="18" customHeight="1" x14ac:dyDescent="0.15">
      <c r="C31" s="738"/>
      <c r="D31" s="738"/>
      <c r="E31" s="738"/>
      <c r="F31" s="738"/>
      <c r="G31" s="738"/>
      <c r="H31" s="738"/>
    </row>
    <row r="32" spans="1:8" ht="18" customHeight="1" x14ac:dyDescent="0.15">
      <c r="A32" s="731" t="s">
        <v>1958</v>
      </c>
    </row>
    <row r="33" spans="1:8" ht="18" customHeight="1" x14ac:dyDescent="0.15">
      <c r="A33" s="731" t="s">
        <v>1959</v>
      </c>
    </row>
    <row r="34" spans="1:8" ht="18" customHeight="1" x14ac:dyDescent="0.15">
      <c r="A34" s="731" t="s">
        <v>1960</v>
      </c>
    </row>
    <row r="35" spans="1:8" ht="45.6" customHeight="1" x14ac:dyDescent="0.15">
      <c r="C35" s="1187" t="s">
        <v>2364</v>
      </c>
      <c r="D35" s="1187"/>
      <c r="E35" s="1188"/>
      <c r="F35" s="1188"/>
      <c r="G35" s="1188"/>
      <c r="H35" s="1188"/>
    </row>
    <row r="36" spans="1:8" ht="45.6" customHeight="1" x14ac:dyDescent="0.15">
      <c r="C36" s="1188"/>
      <c r="D36" s="1188"/>
      <c r="E36" s="1188"/>
      <c r="F36" s="1188"/>
      <c r="G36" s="1188"/>
      <c r="H36" s="1188"/>
    </row>
    <row r="38" spans="1:8" ht="18" customHeight="1" x14ac:dyDescent="0.15">
      <c r="A38" s="731" t="s">
        <v>1961</v>
      </c>
    </row>
    <row r="39" spans="1:8" ht="11.45" customHeight="1" x14ac:dyDescent="0.15">
      <c r="C39" s="1181" t="s">
        <v>2365</v>
      </c>
      <c r="D39" s="1181"/>
      <c r="E39" s="1181"/>
      <c r="F39" s="1181"/>
      <c r="G39" s="1181"/>
      <c r="H39" s="1181"/>
    </row>
    <row r="40" spans="1:8" ht="22.9" customHeight="1" x14ac:dyDescent="0.15">
      <c r="C40" s="1181"/>
      <c r="D40" s="1181"/>
      <c r="E40" s="1181"/>
      <c r="F40" s="1181"/>
      <c r="G40" s="1181"/>
      <c r="H40" s="1181"/>
    </row>
    <row r="41" spans="1:8" ht="22.9" customHeight="1" x14ac:dyDescent="0.15">
      <c r="C41" s="1181"/>
      <c r="D41" s="1181"/>
      <c r="E41" s="1181"/>
      <c r="F41" s="1181"/>
      <c r="G41" s="1181"/>
      <c r="H41" s="1181"/>
    </row>
    <row r="42" spans="1:8" ht="22.9" customHeight="1" x14ac:dyDescent="0.15">
      <c r="C42" s="1181"/>
      <c r="D42" s="1181"/>
      <c r="E42" s="1181"/>
      <c r="F42" s="1181"/>
      <c r="G42" s="1181"/>
      <c r="H42" s="1181"/>
    </row>
    <row r="43" spans="1:8" ht="17.45" customHeight="1" x14ac:dyDescent="0.15">
      <c r="C43" s="1181"/>
      <c r="D43" s="1181"/>
      <c r="E43" s="1181"/>
      <c r="F43" s="1181"/>
      <c r="G43" s="1181"/>
      <c r="H43" s="1181"/>
    </row>
    <row r="44" spans="1:8" ht="15.2" customHeight="1" x14ac:dyDescent="0.15">
      <c r="C44" s="739"/>
      <c r="D44" s="739"/>
      <c r="E44" s="739"/>
      <c r="F44" s="739"/>
      <c r="G44" s="739"/>
      <c r="H44" s="739"/>
    </row>
    <row r="45" spans="1:8" ht="18" customHeight="1" x14ac:dyDescent="0.15">
      <c r="A45" s="732" t="s">
        <v>1962</v>
      </c>
      <c r="B45" s="732"/>
    </row>
    <row r="46" spans="1:8" ht="93" customHeight="1" x14ac:dyDescent="0.15">
      <c r="C46" s="1181" t="s">
        <v>2366</v>
      </c>
      <c r="D46" s="1181"/>
      <c r="E46" s="1181"/>
      <c r="F46" s="1181"/>
      <c r="G46" s="1181"/>
      <c r="H46" s="1181"/>
    </row>
    <row r="47" spans="1:8" ht="16.149999999999999" customHeight="1" x14ac:dyDescent="0.15"/>
    <row r="48" spans="1:8" ht="18" customHeight="1" x14ac:dyDescent="0.15">
      <c r="A48" s="732" t="s">
        <v>1963</v>
      </c>
      <c r="B48" s="732"/>
    </row>
    <row r="49" spans="1:8" ht="87.6" customHeight="1" x14ac:dyDescent="0.15">
      <c r="C49" s="1181" t="s">
        <v>2367</v>
      </c>
      <c r="D49" s="1181"/>
      <c r="E49" s="1181"/>
      <c r="F49" s="1181"/>
      <c r="G49" s="1181"/>
      <c r="H49" s="1181"/>
    </row>
    <row r="50" spans="1:8" ht="18.600000000000001" customHeight="1" x14ac:dyDescent="0.15">
      <c r="A50" s="740"/>
      <c r="B50" s="741"/>
      <c r="C50" s="741"/>
      <c r="D50" s="741"/>
      <c r="E50" s="741"/>
      <c r="F50" s="741"/>
      <c r="G50" s="741"/>
      <c r="H50" s="741"/>
    </row>
    <row r="51" spans="1:8" ht="51.6" customHeight="1" x14ac:dyDescent="0.15">
      <c r="A51" s="1182"/>
      <c r="B51" s="1183"/>
      <c r="C51" s="1183"/>
      <c r="D51" s="1183"/>
      <c r="E51" s="1183"/>
      <c r="F51" s="1183"/>
      <c r="G51" s="1183"/>
      <c r="H51" s="1183"/>
    </row>
  </sheetData>
  <mergeCells count="23">
    <mergeCell ref="C24:D24"/>
    <mergeCell ref="E24:H24"/>
    <mergeCell ref="A3:H3"/>
    <mergeCell ref="G5:H5"/>
    <mergeCell ref="G6:H6"/>
    <mergeCell ref="B11:H11"/>
    <mergeCell ref="B14:H14"/>
    <mergeCell ref="C19:H19"/>
    <mergeCell ref="C20:D23"/>
    <mergeCell ref="E20:E21"/>
    <mergeCell ref="F20:H21"/>
    <mergeCell ref="E22:E23"/>
    <mergeCell ref="F22:H23"/>
    <mergeCell ref="C39:H43"/>
    <mergeCell ref="C46:H46"/>
    <mergeCell ref="C49:H49"/>
    <mergeCell ref="A51:H51"/>
    <mergeCell ref="C25:D25"/>
    <mergeCell ref="E25:H25"/>
    <mergeCell ref="C26:D26"/>
    <mergeCell ref="E26:H26"/>
    <mergeCell ref="C29:H30"/>
    <mergeCell ref="C35:H36"/>
  </mergeCells>
  <phoneticPr fontId="3"/>
  <dataValidations count="1">
    <dataValidation type="list" allowBlank="1" showInputMessage="1" showErrorMessage="1" prompt="実施するものに「○」を記載" sqref="C24:D26 C20:E23">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sheetPr>
  <dimension ref="A1:AN321"/>
  <sheetViews>
    <sheetView showGridLines="0" tabSelected="1" view="pageBreakPreview" topLeftCell="A61" zoomScaleNormal="64" zoomScaleSheetLayoutView="100" workbookViewId="0">
      <selection activeCell="S8" sqref="S8"/>
    </sheetView>
  </sheetViews>
  <sheetFormatPr defaultColWidth="4.125" defaultRowHeight="18" customHeight="1" x14ac:dyDescent="0.15"/>
  <cols>
    <col min="1" max="1" width="1.875" style="1" customWidth="1"/>
    <col min="2" max="2" width="4.625" style="1" customWidth="1"/>
    <col min="3" max="3" width="7.625" style="1" customWidth="1"/>
    <col min="4" max="4" width="4.875" style="1" customWidth="1"/>
    <col min="5" max="5" width="2.875" style="1" customWidth="1"/>
    <col min="6" max="7" width="5" style="1" customWidth="1"/>
    <col min="8" max="8" width="2.875" style="1" customWidth="1"/>
    <col min="9" max="10" width="5" style="1" customWidth="1"/>
    <col min="11" max="11" width="7.375" style="1" customWidth="1"/>
    <col min="12" max="12" width="5" style="1" customWidth="1"/>
    <col min="13" max="13" width="2.875" style="1" customWidth="1"/>
    <col min="14" max="15" width="5" style="1" customWidth="1"/>
    <col min="16" max="16" width="2.875" style="1"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x14ac:dyDescent="0.15">
      <c r="A1" s="66"/>
      <c r="B1" s="66"/>
      <c r="C1" s="66"/>
      <c r="D1" s="66"/>
      <c r="E1" s="66"/>
      <c r="F1" s="66"/>
      <c r="G1" s="66"/>
      <c r="H1" s="66"/>
      <c r="I1" s="66"/>
      <c r="J1" s="66"/>
      <c r="K1" s="66"/>
      <c r="L1" s="66"/>
      <c r="M1" s="66"/>
      <c r="N1" s="66"/>
      <c r="O1" s="66"/>
      <c r="P1" s="66"/>
      <c r="Q1" s="66"/>
      <c r="R1" s="66"/>
      <c r="S1" s="66"/>
      <c r="T1" s="66"/>
    </row>
    <row r="2" spans="1:21" s="2" customFormat="1" ht="24" customHeight="1" x14ac:dyDescent="0.15">
      <c r="A2" s="89"/>
      <c r="B2" s="194"/>
      <c r="C2" s="194"/>
      <c r="D2" s="223"/>
      <c r="E2" s="223"/>
      <c r="F2" s="194"/>
      <c r="G2" s="194"/>
      <c r="H2" s="194"/>
      <c r="I2" s="194"/>
      <c r="J2" s="194"/>
      <c r="K2" s="194"/>
      <c r="L2" s="194"/>
      <c r="M2" s="194"/>
      <c r="N2" s="194"/>
      <c r="O2" s="194"/>
      <c r="P2" s="194"/>
      <c r="Q2" s="194"/>
      <c r="R2" s="1311" t="s">
        <v>1993</v>
      </c>
      <c r="S2" s="1312"/>
      <c r="T2" s="194"/>
    </row>
    <row r="3" spans="1:21" s="2" customFormat="1" ht="42.75" customHeight="1" x14ac:dyDescent="0.15">
      <c r="A3" s="224"/>
      <c r="B3" s="194"/>
      <c r="C3" s="194"/>
      <c r="D3" s="223"/>
      <c r="E3" s="223"/>
      <c r="F3" s="225"/>
      <c r="G3" s="194"/>
      <c r="H3" s="194"/>
      <c r="I3" s="194"/>
      <c r="J3" s="194"/>
      <c r="K3" s="194"/>
      <c r="L3" s="194"/>
      <c r="M3" s="194"/>
      <c r="N3" s="194"/>
      <c r="O3" s="194"/>
      <c r="P3" s="194"/>
      <c r="Q3" s="194"/>
      <c r="R3" s="194"/>
      <c r="S3" s="194"/>
      <c r="T3" s="194"/>
    </row>
    <row r="4" spans="1:21" s="2" customFormat="1" ht="76.5" customHeight="1" x14ac:dyDescent="0.15">
      <c r="A4" s="194"/>
      <c r="B4" s="1320" t="s">
        <v>2368</v>
      </c>
      <c r="C4" s="1321"/>
      <c r="D4" s="1321"/>
      <c r="E4" s="1321"/>
      <c r="F4" s="1321"/>
      <c r="G4" s="1321"/>
      <c r="H4" s="1321"/>
      <c r="I4" s="1321"/>
      <c r="J4" s="1321"/>
      <c r="K4" s="1321"/>
      <c r="L4" s="1321"/>
      <c r="M4" s="1321"/>
      <c r="N4" s="1321"/>
      <c r="O4" s="1321"/>
      <c r="P4" s="1321"/>
      <c r="Q4" s="1321"/>
      <c r="R4" s="1321"/>
      <c r="S4" s="1321"/>
      <c r="T4" s="194"/>
    </row>
    <row r="5" spans="1:21" s="2" customFormat="1" ht="21.75" customHeight="1" x14ac:dyDescent="0.15">
      <c r="A5" s="194"/>
      <c r="B5" s="226"/>
      <c r="C5" s="226"/>
      <c r="D5" s="226"/>
      <c r="E5" s="226"/>
      <c r="F5" s="226"/>
      <c r="G5" s="63"/>
      <c r="H5" s="63"/>
      <c r="I5" s="63"/>
      <c r="J5" s="63"/>
      <c r="K5" s="63"/>
      <c r="L5" s="63"/>
      <c r="M5" s="63"/>
      <c r="N5" s="63"/>
      <c r="O5" s="63"/>
      <c r="P5" s="63"/>
      <c r="Q5" s="63"/>
      <c r="R5" s="63"/>
      <c r="S5" s="63"/>
      <c r="T5" s="194"/>
    </row>
    <row r="6" spans="1:21" s="2" customFormat="1" ht="21.75" customHeight="1" x14ac:dyDescent="0.15">
      <c r="A6" s="194"/>
      <c r="B6" s="194"/>
      <c r="C6" s="194"/>
      <c r="D6" s="1313" t="s">
        <v>1148</v>
      </c>
      <c r="E6" s="1313"/>
      <c r="F6" s="1313"/>
      <c r="G6" s="1316" t="s">
        <v>1965</v>
      </c>
      <c r="H6" s="1316"/>
      <c r="I6" s="1316"/>
      <c r="J6" s="1316"/>
      <c r="K6" s="1316"/>
      <c r="L6" s="1316"/>
      <c r="M6" s="1316"/>
      <c r="N6" s="1316"/>
      <c r="O6" s="1316"/>
      <c r="P6" s="1316"/>
      <c r="Q6" s="1317"/>
      <c r="R6" s="194"/>
      <c r="S6" s="194"/>
      <c r="T6" s="194"/>
    </row>
    <row r="7" spans="1:21" s="2" customFormat="1" ht="30.75" customHeight="1" x14ac:dyDescent="0.15">
      <c r="A7" s="194"/>
      <c r="B7" s="194"/>
      <c r="C7" s="194"/>
      <c r="D7" s="1290" t="s">
        <v>28</v>
      </c>
      <c r="E7" s="1290"/>
      <c r="F7" s="1290"/>
      <c r="G7" s="1314" t="str">
        <f>はじめに!D5&amp;""</f>
        <v>真庭集落協定</v>
      </c>
      <c r="H7" s="1314"/>
      <c r="I7" s="1314"/>
      <c r="J7" s="1314"/>
      <c r="K7" s="1314"/>
      <c r="L7" s="1314"/>
      <c r="M7" s="1314"/>
      <c r="N7" s="1314"/>
      <c r="O7" s="1314"/>
      <c r="P7" s="1314"/>
      <c r="Q7" s="1315"/>
      <c r="R7" s="194"/>
      <c r="S7" s="194"/>
      <c r="T7" s="194"/>
      <c r="U7" s="1"/>
    </row>
    <row r="8" spans="1:21" s="2" customFormat="1" ht="3" customHeight="1" x14ac:dyDescent="0.15">
      <c r="A8" s="194"/>
      <c r="B8" s="194"/>
      <c r="C8" s="194"/>
      <c r="D8" s="227"/>
      <c r="E8" s="227"/>
      <c r="F8" s="227"/>
      <c r="G8" s="63"/>
      <c r="H8" s="63"/>
      <c r="I8" s="228"/>
      <c r="J8" s="228"/>
      <c r="K8" s="228"/>
      <c r="L8" s="228"/>
      <c r="M8" s="228"/>
      <c r="N8" s="228"/>
      <c r="O8" s="228"/>
      <c r="P8" s="228"/>
      <c r="Q8" s="228"/>
      <c r="R8" s="194"/>
      <c r="S8" s="194"/>
      <c r="T8" s="194"/>
    </row>
    <row r="9" spans="1:21" s="2" customFormat="1" ht="19.5" customHeight="1" x14ac:dyDescent="0.15">
      <c r="A9" s="194"/>
      <c r="B9" s="194"/>
      <c r="C9" s="194"/>
      <c r="D9" s="1313" t="s">
        <v>1148</v>
      </c>
      <c r="E9" s="1313"/>
      <c r="F9" s="1313"/>
      <c r="G9" s="1316" t="s">
        <v>1966</v>
      </c>
      <c r="H9" s="1316"/>
      <c r="I9" s="1316"/>
      <c r="J9" s="1316"/>
      <c r="K9" s="1316"/>
      <c r="L9" s="1316"/>
      <c r="M9" s="1316"/>
      <c r="N9" s="1316"/>
      <c r="O9" s="1316"/>
      <c r="P9" s="1316"/>
      <c r="Q9" s="1317"/>
      <c r="R9" s="194"/>
      <c r="S9" s="194"/>
      <c r="T9" s="194"/>
    </row>
    <row r="10" spans="1:21" s="2" customFormat="1" ht="30.75" customHeight="1" x14ac:dyDescent="0.15">
      <c r="A10" s="194"/>
      <c r="B10" s="194"/>
      <c r="C10" s="194"/>
      <c r="D10" s="1290" t="s">
        <v>29</v>
      </c>
      <c r="E10" s="1290"/>
      <c r="F10" s="1290"/>
      <c r="G10" s="1314" t="str">
        <f>はじめに!D6&amp;""</f>
        <v>真庭　太郎</v>
      </c>
      <c r="H10" s="1314"/>
      <c r="I10" s="1314"/>
      <c r="J10" s="1314"/>
      <c r="K10" s="1314"/>
      <c r="L10" s="1314"/>
      <c r="M10" s="1314"/>
      <c r="N10" s="1314"/>
      <c r="O10" s="1318"/>
      <c r="P10" s="1318"/>
      <c r="Q10" s="1319"/>
      <c r="R10" s="194"/>
      <c r="S10" s="194"/>
      <c r="T10" s="194"/>
      <c r="U10" s="1"/>
    </row>
    <row r="11" spans="1:21" s="2" customFormat="1" ht="3" customHeight="1" x14ac:dyDescent="0.15">
      <c r="A11" s="194"/>
      <c r="B11" s="194"/>
      <c r="C11" s="194"/>
      <c r="D11" s="227"/>
      <c r="E11" s="227"/>
      <c r="F11" s="227"/>
      <c r="G11" s="229"/>
      <c r="H11" s="226"/>
      <c r="I11" s="194"/>
      <c r="J11" s="229"/>
      <c r="K11" s="229"/>
      <c r="L11" s="229"/>
      <c r="M11" s="229"/>
      <c r="N11" s="229"/>
      <c r="O11" s="229"/>
      <c r="P11" s="229"/>
      <c r="Q11" s="229"/>
      <c r="R11" s="194"/>
      <c r="S11" s="194"/>
      <c r="T11" s="194"/>
    </row>
    <row r="12" spans="1:21" s="2" customFormat="1" ht="21.75" customHeight="1" x14ac:dyDescent="0.15">
      <c r="A12" s="194"/>
      <c r="B12" s="194"/>
      <c r="C12" s="194"/>
      <c r="D12" s="1313" t="s">
        <v>1148</v>
      </c>
      <c r="E12" s="1313"/>
      <c r="F12" s="1313"/>
      <c r="G12" s="1316" t="s">
        <v>1967</v>
      </c>
      <c r="H12" s="1316"/>
      <c r="I12" s="1316"/>
      <c r="J12" s="1316"/>
      <c r="K12" s="1316"/>
      <c r="L12" s="1316"/>
      <c r="M12" s="1316"/>
      <c r="N12" s="1316"/>
      <c r="O12" s="1316"/>
      <c r="P12" s="1316"/>
      <c r="Q12" s="1317"/>
      <c r="R12" s="194"/>
      <c r="S12" s="194"/>
      <c r="T12" s="194"/>
    </row>
    <row r="13" spans="1:21" s="2" customFormat="1" ht="30.75" customHeight="1" x14ac:dyDescent="0.15">
      <c r="A13" s="194"/>
      <c r="B13" s="194"/>
      <c r="C13" s="194"/>
      <c r="D13" s="1290" t="s">
        <v>11</v>
      </c>
      <c r="E13" s="1290"/>
      <c r="F13" s="1290"/>
      <c r="G13" s="1314" t="str">
        <f>はじめに!D7&amp;""</f>
        <v>岡山県真庭市久世2927ｰ2</v>
      </c>
      <c r="H13" s="1314"/>
      <c r="I13" s="1314"/>
      <c r="J13" s="1314"/>
      <c r="K13" s="1314"/>
      <c r="L13" s="1314"/>
      <c r="M13" s="1314"/>
      <c r="N13" s="1314"/>
      <c r="O13" s="1314"/>
      <c r="P13" s="1314"/>
      <c r="Q13" s="1315"/>
      <c r="R13" s="194"/>
      <c r="S13" s="194"/>
      <c r="T13" s="194"/>
    </row>
    <row r="14" spans="1:21" s="2" customFormat="1" ht="20.25" customHeight="1" x14ac:dyDescent="0.15">
      <c r="A14" s="194"/>
      <c r="B14" s="194"/>
      <c r="C14" s="194"/>
      <c r="D14" s="194"/>
      <c r="E14" s="194"/>
      <c r="F14" s="230"/>
      <c r="G14" s="194"/>
      <c r="H14" s="194"/>
      <c r="I14" s="194"/>
      <c r="J14" s="194"/>
      <c r="K14" s="194"/>
      <c r="L14" s="194"/>
      <c r="M14" s="194"/>
      <c r="N14" s="194"/>
      <c r="O14" s="194"/>
      <c r="P14" s="194"/>
      <c r="Q14" s="194"/>
      <c r="R14" s="194"/>
      <c r="S14" s="194"/>
      <c r="T14" s="194"/>
    </row>
    <row r="15" spans="1:21" s="2" customFormat="1" ht="21.75" customHeight="1" x14ac:dyDescent="0.15">
      <c r="A15" s="194"/>
      <c r="B15" s="194"/>
      <c r="C15" s="230"/>
      <c r="D15" s="230"/>
      <c r="E15" s="230"/>
      <c r="F15" s="230"/>
      <c r="G15" s="194"/>
      <c r="H15" s="194"/>
      <c r="I15" s="194"/>
      <c r="J15" s="194"/>
      <c r="K15" s="194"/>
      <c r="L15" s="194"/>
      <c r="M15" s="194"/>
      <c r="N15" s="194"/>
      <c r="O15" s="194"/>
      <c r="P15" s="194"/>
      <c r="Q15" s="194"/>
      <c r="R15" s="194"/>
      <c r="S15" s="194"/>
      <c r="T15" s="194"/>
    </row>
    <row r="16" spans="1:21" s="2" customFormat="1" ht="21.75" customHeight="1" x14ac:dyDescent="0.15">
      <c r="A16" s="194"/>
      <c r="B16" s="194"/>
      <c r="C16" s="194"/>
      <c r="D16" s="757" t="s">
        <v>47</v>
      </c>
      <c r="E16" s="1297" t="s">
        <v>48</v>
      </c>
      <c r="F16" s="1297"/>
      <c r="G16" s="1297"/>
      <c r="H16" s="1297"/>
      <c r="I16" s="1297"/>
      <c r="J16" s="1297"/>
      <c r="K16" s="1297"/>
      <c r="L16" s="1297"/>
      <c r="M16" s="1297"/>
      <c r="N16" s="1297"/>
      <c r="O16" s="1297"/>
      <c r="P16" s="1297"/>
      <c r="Q16" s="1297"/>
      <c r="R16" s="1297"/>
      <c r="S16" s="63"/>
      <c r="T16" s="194"/>
    </row>
    <row r="17" spans="1:40" s="2" customFormat="1" ht="16.5" customHeight="1" x14ac:dyDescent="0.15">
      <c r="A17" s="194"/>
      <c r="B17" s="194"/>
      <c r="C17" s="223"/>
      <c r="D17" s="80"/>
      <c r="E17" s="80"/>
      <c r="F17" s="80"/>
      <c r="G17" s="63"/>
      <c r="H17" s="63"/>
      <c r="I17" s="63"/>
      <c r="J17" s="63"/>
      <c r="K17" s="63"/>
      <c r="L17" s="63"/>
      <c r="M17" s="63"/>
      <c r="N17" s="63"/>
      <c r="O17" s="63"/>
      <c r="P17" s="63"/>
      <c r="Q17" s="63"/>
      <c r="R17" s="63"/>
      <c r="S17" s="63"/>
      <c r="T17" s="194"/>
    </row>
    <row r="18" spans="1:40" s="2" customFormat="1" ht="21.75" customHeight="1" x14ac:dyDescent="0.15">
      <c r="A18" s="194"/>
      <c r="B18" s="194"/>
      <c r="C18" s="194"/>
      <c r="D18" s="63" t="s">
        <v>12</v>
      </c>
      <c r="E18" s="63"/>
      <c r="F18" s="226"/>
      <c r="G18" s="80"/>
      <c r="H18" s="80"/>
      <c r="I18" s="80"/>
      <c r="J18" s="63"/>
      <c r="K18" s="63"/>
      <c r="L18" s="63"/>
      <c r="M18" s="63"/>
      <c r="N18" s="63"/>
      <c r="O18" s="63"/>
      <c r="P18" s="63"/>
      <c r="Q18" s="63"/>
      <c r="R18" s="63"/>
      <c r="S18" s="63"/>
      <c r="T18" s="194"/>
    </row>
    <row r="19" spans="1:40" s="2" customFormat="1" ht="21.75" customHeight="1" x14ac:dyDescent="0.15">
      <c r="A19" s="194"/>
      <c r="B19" s="194"/>
      <c r="C19" s="194"/>
      <c r="D19" s="743" t="str">
        <f>参４_申請!B16</f>
        <v>□</v>
      </c>
      <c r="E19" s="1298" t="s">
        <v>31</v>
      </c>
      <c r="F19" s="1299"/>
      <c r="G19" s="1299"/>
      <c r="H19" s="1299"/>
      <c r="I19" s="1299"/>
      <c r="J19" s="1299"/>
      <c r="K19" s="1299"/>
      <c r="L19" s="1299"/>
      <c r="M19" s="1299"/>
      <c r="N19" s="1299"/>
      <c r="O19" s="1299"/>
      <c r="P19" s="1299"/>
      <c r="Q19" s="1300"/>
      <c r="R19" s="749" t="s">
        <v>71</v>
      </c>
      <c r="S19" s="194"/>
      <c r="T19" s="194"/>
    </row>
    <row r="20" spans="1:40" s="2" customFormat="1" ht="21.75" customHeight="1" x14ac:dyDescent="0.15">
      <c r="A20" s="194"/>
      <c r="B20" s="194"/>
      <c r="C20" s="194"/>
      <c r="D20" s="743" t="str">
        <f>参４_申請!B17</f>
        <v>☑</v>
      </c>
      <c r="E20" s="1298" t="s">
        <v>56</v>
      </c>
      <c r="F20" s="1299"/>
      <c r="G20" s="1299"/>
      <c r="H20" s="1299"/>
      <c r="I20" s="1299"/>
      <c r="J20" s="1299"/>
      <c r="K20" s="1299"/>
      <c r="L20" s="1299"/>
      <c r="M20" s="1299"/>
      <c r="N20" s="1299"/>
      <c r="O20" s="1299"/>
      <c r="P20" s="1299"/>
      <c r="Q20" s="1300"/>
      <c r="R20" s="748" t="s">
        <v>1985</v>
      </c>
      <c r="S20" s="194"/>
      <c r="T20" s="194"/>
    </row>
    <row r="21" spans="1:40" s="2" customFormat="1" ht="21.75" customHeight="1" x14ac:dyDescent="0.15">
      <c r="A21" s="194"/>
      <c r="B21" s="194"/>
      <c r="C21" s="194"/>
      <c r="D21" s="743" t="str">
        <f>参４_申請!B18</f>
        <v>□</v>
      </c>
      <c r="E21" s="1298" t="s">
        <v>57</v>
      </c>
      <c r="F21" s="1299"/>
      <c r="G21" s="1299"/>
      <c r="H21" s="1299"/>
      <c r="I21" s="1299"/>
      <c r="J21" s="1299"/>
      <c r="K21" s="1299"/>
      <c r="L21" s="1299"/>
      <c r="M21" s="1299"/>
      <c r="N21" s="1299"/>
      <c r="O21" s="1299"/>
      <c r="P21" s="1299"/>
      <c r="Q21" s="1300"/>
      <c r="R21" s="749" t="s">
        <v>13</v>
      </c>
      <c r="S21" s="194"/>
      <c r="T21" s="194"/>
    </row>
    <row r="22" spans="1:40" s="2" customFormat="1" ht="21.75" customHeight="1" x14ac:dyDescent="0.15">
      <c r="A22" s="194"/>
      <c r="B22" s="194"/>
      <c r="C22" s="194"/>
      <c r="D22" s="750" t="s">
        <v>30</v>
      </c>
      <c r="E22" s="1350" t="s">
        <v>58</v>
      </c>
      <c r="F22" s="1351"/>
      <c r="G22" s="1351"/>
      <c r="H22" s="1351"/>
      <c r="I22" s="1351"/>
      <c r="J22" s="1351"/>
      <c r="K22" s="1351"/>
      <c r="L22" s="1351"/>
      <c r="M22" s="1351"/>
      <c r="N22" s="1351"/>
      <c r="O22" s="1351"/>
      <c r="P22" s="1351"/>
      <c r="Q22" s="1352"/>
      <c r="R22" s="749" t="s">
        <v>13</v>
      </c>
      <c r="S22" s="194"/>
      <c r="T22" s="194"/>
    </row>
    <row r="23" spans="1:40" s="2" customFormat="1" ht="28.5" customHeight="1" x14ac:dyDescent="0.15">
      <c r="A23" s="194"/>
      <c r="B23" s="194"/>
      <c r="C23" s="194"/>
      <c r="D23" s="194" t="s">
        <v>14</v>
      </c>
      <c r="E23" s="194"/>
      <c r="F23" s="63"/>
      <c r="G23" s="63"/>
      <c r="H23" s="63"/>
      <c r="I23" s="63"/>
      <c r="J23" s="231"/>
      <c r="K23" s="63"/>
      <c r="L23" s="63"/>
      <c r="M23" s="63"/>
      <c r="N23" s="63"/>
      <c r="O23" s="63"/>
      <c r="P23" s="63"/>
      <c r="Q23" s="63"/>
      <c r="R23" s="63"/>
      <c r="S23" s="63"/>
      <c r="T23" s="194"/>
    </row>
    <row r="24" spans="1:40" s="2" customFormat="1" ht="48.75" customHeight="1" x14ac:dyDescent="0.15">
      <c r="C24" s="11"/>
      <c r="D24" s="13"/>
      <c r="E24" s="13"/>
      <c r="F24" s="23"/>
      <c r="G24" s="23"/>
      <c r="H24" s="23"/>
      <c r="I24" s="23"/>
      <c r="J24" s="23"/>
      <c r="K24" s="23"/>
      <c r="L24" s="23"/>
      <c r="M24" s="23"/>
      <c r="N24" s="23"/>
      <c r="O24" s="23"/>
      <c r="P24" s="23"/>
      <c r="Q24" s="23"/>
      <c r="R24" s="23"/>
      <c r="S24" s="23"/>
    </row>
    <row r="25" spans="1:40" s="2" customFormat="1" ht="14.25" customHeight="1" x14ac:dyDescent="0.15">
      <c r="A25" s="194"/>
      <c r="B25" s="194"/>
      <c r="C25" s="194"/>
      <c r="D25" s="194"/>
      <c r="E25" s="194"/>
      <c r="F25" s="194"/>
      <c r="G25" s="194"/>
      <c r="H25" s="194"/>
      <c r="I25" s="194"/>
      <c r="J25" s="194"/>
      <c r="K25" s="194"/>
      <c r="L25" s="194"/>
      <c r="M25" s="194"/>
      <c r="N25" s="194"/>
      <c r="O25" s="194"/>
      <c r="P25" s="194"/>
      <c r="Q25" s="194"/>
      <c r="R25" s="194"/>
      <c r="S25" s="194"/>
    </row>
    <row r="26" spans="1:40" s="2" customFormat="1" ht="45.75" customHeight="1" x14ac:dyDescent="0.15">
      <c r="A26" s="195"/>
      <c r="B26" s="195"/>
      <c r="C26" s="1307"/>
      <c r="D26" s="1307"/>
      <c r="E26" s="1307"/>
      <c r="F26" s="1307"/>
      <c r="G26" s="1307"/>
      <c r="H26" s="1307"/>
      <c r="I26" s="1307"/>
      <c r="J26" s="1307"/>
      <c r="K26" s="1307"/>
      <c r="L26" s="1307"/>
      <c r="M26" s="1307"/>
      <c r="N26" s="1307"/>
      <c r="O26" s="1307"/>
      <c r="P26" s="1307"/>
      <c r="Q26" s="1307"/>
      <c r="R26" s="1307"/>
      <c r="S26" s="1307"/>
    </row>
    <row r="27" spans="1:40" ht="19.5" customHeight="1" x14ac:dyDescent="0.15">
      <c r="A27" s="196" t="s">
        <v>8</v>
      </c>
      <c r="B27" s="69"/>
      <c r="C27" s="69"/>
      <c r="D27" s="69"/>
      <c r="E27" s="69"/>
      <c r="F27" s="69"/>
      <c r="G27" s="69"/>
      <c r="H27" s="69"/>
      <c r="I27" s="69"/>
      <c r="J27" s="69"/>
      <c r="K27" s="69"/>
      <c r="L27" s="63"/>
      <c r="M27" s="63"/>
      <c r="N27" s="63"/>
      <c r="O27" s="63"/>
      <c r="P27" s="63"/>
      <c r="Q27" s="63"/>
      <c r="R27" s="63"/>
      <c r="S27" s="63"/>
    </row>
    <row r="28" spans="1:40" ht="28.5" customHeight="1" x14ac:dyDescent="0.15">
      <c r="A28" s="196"/>
      <c r="B28" s="1307" t="s">
        <v>34</v>
      </c>
      <c r="C28" s="1307"/>
      <c r="D28" s="1307"/>
      <c r="E28" s="1307"/>
      <c r="F28" s="1307"/>
      <c r="G28" s="1307"/>
      <c r="H28" s="1307"/>
      <c r="I28" s="1307"/>
      <c r="J28" s="1307"/>
      <c r="K28" s="1307"/>
      <c r="L28" s="1307"/>
      <c r="M28" s="1307"/>
      <c r="N28" s="1307"/>
      <c r="O28" s="1307"/>
      <c r="P28" s="1307"/>
      <c r="Q28" s="1307"/>
      <c r="R28" s="1307"/>
      <c r="S28" s="1307"/>
      <c r="T28" s="3"/>
      <c r="U28" s="3"/>
      <c r="V28" s="3"/>
      <c r="W28" s="3"/>
      <c r="X28" s="3"/>
      <c r="Y28" s="3"/>
      <c r="Z28" s="3"/>
      <c r="AA28" s="3"/>
      <c r="AB28" s="3"/>
      <c r="AC28" s="3"/>
      <c r="AD28" s="3"/>
      <c r="AE28" s="3"/>
      <c r="AF28" s="3"/>
      <c r="AG28" s="3"/>
      <c r="AH28" s="3"/>
      <c r="AI28" s="3"/>
      <c r="AJ28" s="3"/>
      <c r="AK28" s="3"/>
      <c r="AL28" s="3"/>
      <c r="AM28" s="3"/>
      <c r="AN28" s="3"/>
    </row>
    <row r="29" spans="1:40" ht="20.25" customHeight="1" x14ac:dyDescent="0.15">
      <c r="A29" s="196"/>
      <c r="B29" s="89" t="s">
        <v>60</v>
      </c>
      <c r="C29" s="89"/>
      <c r="D29" s="63"/>
      <c r="E29" s="63"/>
      <c r="F29" s="63"/>
      <c r="G29" s="197"/>
      <c r="H29" s="197"/>
      <c r="I29" s="197"/>
      <c r="J29" s="198"/>
      <c r="K29" s="198"/>
      <c r="L29" s="63"/>
      <c r="M29" s="63"/>
      <c r="N29" s="63"/>
      <c r="O29" s="63"/>
      <c r="P29" s="63"/>
      <c r="Q29" s="63"/>
      <c r="R29" s="63"/>
      <c r="S29" s="63"/>
    </row>
    <row r="30" spans="1:40" ht="38.25" customHeight="1" x14ac:dyDescent="0.15">
      <c r="A30" s="199"/>
      <c r="B30" s="1359"/>
      <c r="C30" s="1360"/>
      <c r="D30" s="1291" t="s">
        <v>1995</v>
      </c>
      <c r="E30" s="1292"/>
      <c r="F30" s="1293"/>
      <c r="G30" s="1333" t="s">
        <v>7</v>
      </c>
      <c r="H30" s="1292"/>
      <c r="I30" s="1293"/>
      <c r="J30" s="1334" t="s">
        <v>16</v>
      </c>
      <c r="K30" s="1335"/>
      <c r="L30" s="1333" t="s">
        <v>1994</v>
      </c>
      <c r="M30" s="1292"/>
      <c r="N30" s="1293"/>
      <c r="O30" s="1336" t="s">
        <v>1994</v>
      </c>
      <c r="P30" s="1337"/>
      <c r="Q30" s="1338"/>
      <c r="R30" s="63"/>
      <c r="S30" s="63"/>
    </row>
    <row r="31" spans="1:40" ht="9" customHeight="1" x14ac:dyDescent="0.15">
      <c r="A31" s="199"/>
      <c r="B31" s="1303" t="s">
        <v>17</v>
      </c>
      <c r="C31" s="1304"/>
      <c r="D31" s="1310"/>
      <c r="E31" s="1323"/>
      <c r="F31" s="1324"/>
      <c r="G31" s="1310"/>
      <c r="H31" s="1323"/>
      <c r="I31" s="1324"/>
      <c r="J31" s="1295"/>
      <c r="K31" s="1296"/>
      <c r="L31" s="1310"/>
      <c r="M31" s="1323"/>
      <c r="N31" s="1324"/>
      <c r="O31" s="1310"/>
      <c r="P31" s="1250"/>
      <c r="Q31" s="1251"/>
      <c r="R31" s="200"/>
      <c r="S31" s="63"/>
    </row>
    <row r="32" spans="1:40" ht="22.5" customHeight="1" x14ac:dyDescent="0.15">
      <c r="A32" s="199"/>
      <c r="B32" s="1305"/>
      <c r="C32" s="1306"/>
      <c r="D32" s="994" t="s">
        <v>65</v>
      </c>
      <c r="E32" s="995"/>
      <c r="F32" s="996" t="s">
        <v>70</v>
      </c>
      <c r="G32" s="994" t="s">
        <v>65</v>
      </c>
      <c r="H32" s="995"/>
      <c r="I32" s="996" t="s">
        <v>70</v>
      </c>
      <c r="J32" s="1212"/>
      <c r="K32" s="1213"/>
      <c r="L32" s="994" t="s">
        <v>65</v>
      </c>
      <c r="M32" s="995"/>
      <c r="N32" s="996" t="s">
        <v>70</v>
      </c>
      <c r="O32" s="994" t="s">
        <v>65</v>
      </c>
      <c r="P32" s="995"/>
      <c r="Q32" s="996" t="s">
        <v>70</v>
      </c>
      <c r="R32" s="200"/>
      <c r="S32" s="63"/>
    </row>
    <row r="33" spans="1:23" ht="6.75" customHeight="1" x14ac:dyDescent="0.15">
      <c r="A33" s="199"/>
      <c r="B33" s="1303" t="s">
        <v>35</v>
      </c>
      <c r="C33" s="1304"/>
      <c r="D33" s="1249"/>
      <c r="E33" s="1250"/>
      <c r="F33" s="1251"/>
      <c r="G33" s="1249"/>
      <c r="H33" s="1250"/>
      <c r="I33" s="1251"/>
      <c r="J33" s="1295"/>
      <c r="K33" s="1296"/>
      <c r="L33" s="1249"/>
      <c r="M33" s="1250"/>
      <c r="N33" s="1251"/>
      <c r="O33" s="1249"/>
      <c r="P33" s="1250"/>
      <c r="Q33" s="1251"/>
      <c r="R33" s="200"/>
      <c r="S33" s="63"/>
    </row>
    <row r="34" spans="1:23" ht="22.5" customHeight="1" x14ac:dyDescent="0.15">
      <c r="A34" s="199"/>
      <c r="B34" s="1305"/>
      <c r="C34" s="1306"/>
      <c r="D34" s="994" t="s">
        <v>65</v>
      </c>
      <c r="E34" s="995"/>
      <c r="F34" s="996" t="s">
        <v>70</v>
      </c>
      <c r="G34" s="994" t="s">
        <v>65</v>
      </c>
      <c r="H34" s="995"/>
      <c r="I34" s="996" t="s">
        <v>70</v>
      </c>
      <c r="J34" s="1212"/>
      <c r="K34" s="1213"/>
      <c r="L34" s="994" t="s">
        <v>65</v>
      </c>
      <c r="M34" s="995"/>
      <c r="N34" s="996" t="s">
        <v>70</v>
      </c>
      <c r="O34" s="994" t="s">
        <v>65</v>
      </c>
      <c r="P34" s="995"/>
      <c r="Q34" s="996" t="s">
        <v>70</v>
      </c>
      <c r="R34" s="200"/>
      <c r="S34" s="63"/>
    </row>
    <row r="35" spans="1:23" ht="6.75" customHeight="1" x14ac:dyDescent="0.15">
      <c r="A35" s="199"/>
      <c r="B35" s="1303" t="s">
        <v>36</v>
      </c>
      <c r="C35" s="1304"/>
      <c r="D35" s="1249"/>
      <c r="E35" s="1250"/>
      <c r="F35" s="1294"/>
      <c r="G35" s="1249"/>
      <c r="H35" s="1250"/>
      <c r="I35" s="1294"/>
      <c r="J35" s="1295"/>
      <c r="K35" s="1296"/>
      <c r="L35" s="1249"/>
      <c r="M35" s="1250"/>
      <c r="N35" s="1294"/>
      <c r="O35" s="1249"/>
      <c r="P35" s="1250"/>
      <c r="Q35" s="1251"/>
      <c r="R35" s="200"/>
      <c r="S35" s="63"/>
    </row>
    <row r="36" spans="1:23" ht="22.5" customHeight="1" x14ac:dyDescent="0.15">
      <c r="A36" s="199"/>
      <c r="B36" s="1305"/>
      <c r="C36" s="1306"/>
      <c r="D36" s="994" t="s">
        <v>65</v>
      </c>
      <c r="E36" s="995"/>
      <c r="F36" s="996" t="s">
        <v>70</v>
      </c>
      <c r="G36" s="994" t="s">
        <v>65</v>
      </c>
      <c r="H36" s="995"/>
      <c r="I36" s="996" t="s">
        <v>70</v>
      </c>
      <c r="J36" s="1212"/>
      <c r="K36" s="1213"/>
      <c r="L36" s="994" t="s">
        <v>65</v>
      </c>
      <c r="M36" s="995"/>
      <c r="N36" s="996" t="s">
        <v>70</v>
      </c>
      <c r="O36" s="994" t="s">
        <v>65</v>
      </c>
      <c r="P36" s="995"/>
      <c r="Q36" s="996" t="s">
        <v>70</v>
      </c>
      <c r="R36" s="200"/>
      <c r="S36" s="63"/>
    </row>
    <row r="37" spans="1:23" ht="9" customHeight="1" x14ac:dyDescent="0.15">
      <c r="A37" s="199"/>
      <c r="B37" s="1303" t="s">
        <v>18</v>
      </c>
      <c r="C37" s="1304"/>
      <c r="D37" s="1216"/>
      <c r="E37" s="1217"/>
      <c r="F37" s="1218"/>
      <c r="G37" s="1216"/>
      <c r="H37" s="1217"/>
      <c r="I37" s="1218"/>
      <c r="J37" s="1269"/>
      <c r="K37" s="1270"/>
      <c r="L37" s="1347"/>
      <c r="M37" s="1348"/>
      <c r="N37" s="1349"/>
      <c r="O37" s="1347"/>
      <c r="P37" s="1348"/>
      <c r="Q37" s="1353"/>
      <c r="R37" s="200"/>
      <c r="S37" s="63"/>
    </row>
    <row r="38" spans="1:23" ht="22.5" customHeight="1" x14ac:dyDescent="0.15">
      <c r="A38" s="199"/>
      <c r="B38" s="1305"/>
      <c r="C38" s="1306"/>
      <c r="D38" s="201" t="s">
        <v>65</v>
      </c>
      <c r="E38" s="289">
        <v>7</v>
      </c>
      <c r="F38" s="202" t="s">
        <v>70</v>
      </c>
      <c r="G38" s="201" t="s">
        <v>65</v>
      </c>
      <c r="H38" s="289">
        <v>11</v>
      </c>
      <c r="I38" s="202" t="s">
        <v>70</v>
      </c>
      <c r="J38" s="1308">
        <f>H38-E38+1</f>
        <v>5</v>
      </c>
      <c r="K38" s="1309"/>
      <c r="L38" s="760" t="s">
        <v>65</v>
      </c>
      <c r="M38" s="761"/>
      <c r="N38" s="762" t="s">
        <v>70</v>
      </c>
      <c r="O38" s="760" t="s">
        <v>65</v>
      </c>
      <c r="P38" s="761"/>
      <c r="Q38" s="762" t="s">
        <v>70</v>
      </c>
      <c r="R38" s="200"/>
      <c r="S38" s="63"/>
    </row>
    <row r="39" spans="1:23" ht="9" customHeight="1" x14ac:dyDescent="0.15">
      <c r="A39" s="199"/>
      <c r="B39" s="1303" t="s">
        <v>19</v>
      </c>
      <c r="C39" s="1304"/>
      <c r="D39" s="1249"/>
      <c r="E39" s="1250"/>
      <c r="F39" s="1294"/>
      <c r="G39" s="1249"/>
      <c r="H39" s="1250"/>
      <c r="I39" s="1294"/>
      <c r="J39" s="1295"/>
      <c r="K39" s="1296"/>
      <c r="L39" s="1249"/>
      <c r="M39" s="1250"/>
      <c r="N39" s="1294"/>
      <c r="O39" s="1249"/>
      <c r="P39" s="1250"/>
      <c r="Q39" s="1251"/>
      <c r="R39" s="200"/>
      <c r="S39" s="63"/>
    </row>
    <row r="40" spans="1:23" ht="22.5" customHeight="1" x14ac:dyDescent="0.15">
      <c r="A40" s="199"/>
      <c r="B40" s="1305"/>
      <c r="C40" s="1306"/>
      <c r="D40" s="994" t="s">
        <v>65</v>
      </c>
      <c r="E40" s="995"/>
      <c r="F40" s="996" t="s">
        <v>70</v>
      </c>
      <c r="G40" s="994" t="s">
        <v>65</v>
      </c>
      <c r="H40" s="995"/>
      <c r="I40" s="996" t="s">
        <v>70</v>
      </c>
      <c r="J40" s="1212"/>
      <c r="K40" s="1213"/>
      <c r="L40" s="994" t="s">
        <v>65</v>
      </c>
      <c r="M40" s="995"/>
      <c r="N40" s="996" t="s">
        <v>70</v>
      </c>
      <c r="O40" s="994" t="s">
        <v>65</v>
      </c>
      <c r="P40" s="995"/>
      <c r="Q40" s="996" t="s">
        <v>70</v>
      </c>
      <c r="R40" s="200"/>
      <c r="S40" s="63"/>
    </row>
    <row r="41" spans="1:23" s="4" customFormat="1" ht="36.75" customHeight="1" x14ac:dyDescent="0.15">
      <c r="A41" s="196"/>
      <c r="B41" s="758" t="s">
        <v>61</v>
      </c>
      <c r="C41" s="203"/>
      <c r="D41" s="203"/>
      <c r="E41" s="203"/>
      <c r="F41" s="203"/>
      <c r="G41" s="203"/>
      <c r="H41" s="203"/>
      <c r="I41" s="203"/>
      <c r="J41" s="203"/>
      <c r="K41" s="203"/>
      <c r="L41" s="203"/>
      <c r="M41" s="203"/>
      <c r="N41" s="203"/>
      <c r="O41" s="203"/>
      <c r="P41" s="203"/>
      <c r="Q41" s="203"/>
      <c r="R41" s="204"/>
      <c r="S41" s="204"/>
      <c r="V41" s="5"/>
    </row>
    <row r="42" spans="1:23" ht="21" customHeight="1" x14ac:dyDescent="0.15">
      <c r="A42" s="205"/>
      <c r="B42" s="1355" t="s">
        <v>49</v>
      </c>
      <c r="C42" s="1356"/>
      <c r="D42" s="206"/>
      <c r="E42" s="207"/>
      <c r="F42" s="208"/>
      <c r="G42" s="208"/>
      <c r="H42" s="207"/>
      <c r="I42" s="208"/>
      <c r="J42" s="208"/>
      <c r="K42" s="208"/>
      <c r="L42" s="208"/>
      <c r="M42" s="209"/>
      <c r="N42" s="209"/>
      <c r="O42" s="1271" t="s">
        <v>10</v>
      </c>
      <c r="P42" s="1272"/>
      <c r="Q42" s="1273"/>
      <c r="R42" s="1286" t="s">
        <v>779</v>
      </c>
      <c r="S42" s="1288" t="s">
        <v>50</v>
      </c>
    </row>
    <row r="43" spans="1:23" ht="21" customHeight="1" x14ac:dyDescent="0.15">
      <c r="A43" s="205"/>
      <c r="B43" s="1357"/>
      <c r="C43" s="1358"/>
      <c r="D43" s="1232" t="s">
        <v>3</v>
      </c>
      <c r="E43" s="1233"/>
      <c r="F43" s="1234"/>
      <c r="G43" s="1232" t="s">
        <v>6</v>
      </c>
      <c r="H43" s="1233"/>
      <c r="I43" s="1234"/>
      <c r="J43" s="1232" t="s">
        <v>5</v>
      </c>
      <c r="K43" s="1234"/>
      <c r="L43" s="1232" t="s">
        <v>20</v>
      </c>
      <c r="M43" s="1233"/>
      <c r="N43" s="1234"/>
      <c r="O43" s="1274"/>
      <c r="P43" s="1274"/>
      <c r="Q43" s="1275"/>
      <c r="R43" s="1287"/>
      <c r="S43" s="1289"/>
    </row>
    <row r="44" spans="1:23" ht="9" customHeight="1" x14ac:dyDescent="0.15">
      <c r="A44" s="205"/>
      <c r="B44" s="210"/>
      <c r="C44" s="1301" t="s">
        <v>1996</v>
      </c>
      <c r="D44" s="1283"/>
      <c r="E44" s="1284"/>
      <c r="F44" s="1285"/>
      <c r="G44" s="1283"/>
      <c r="H44" s="1284"/>
      <c r="I44" s="1285"/>
      <c r="J44" s="1283"/>
      <c r="K44" s="1285"/>
      <c r="L44" s="1226"/>
      <c r="M44" s="1227"/>
      <c r="N44" s="1228"/>
      <c r="O44" s="997"/>
      <c r="P44" s="998"/>
      <c r="Q44" s="999"/>
      <c r="R44" s="1000"/>
      <c r="S44" s="1001"/>
    </row>
    <row r="45" spans="1:23" ht="22.5" customHeight="1" x14ac:dyDescent="0.15">
      <c r="A45" s="205"/>
      <c r="B45" s="210"/>
      <c r="C45" s="1302"/>
      <c r="D45" s="1224">
        <v>0</v>
      </c>
      <c r="E45" s="1224"/>
      <c r="F45" s="1225"/>
      <c r="G45" s="1224">
        <v>0</v>
      </c>
      <c r="H45" s="1224"/>
      <c r="I45" s="1225"/>
      <c r="J45" s="1224">
        <v>0</v>
      </c>
      <c r="K45" s="1225"/>
      <c r="L45" s="1229"/>
      <c r="M45" s="1230"/>
      <c r="N45" s="1231"/>
      <c r="O45" s="1276">
        <f>SUM(D45,G45,J45)</f>
        <v>0</v>
      </c>
      <c r="P45" s="1277"/>
      <c r="Q45" s="1278"/>
      <c r="R45" s="1002">
        <v>0</v>
      </c>
      <c r="S45" s="1003">
        <v>0</v>
      </c>
    </row>
    <row r="46" spans="1:23" ht="9" customHeight="1" x14ac:dyDescent="0.15">
      <c r="A46" s="205"/>
      <c r="B46" s="210"/>
      <c r="C46" s="1280" t="s">
        <v>32</v>
      </c>
      <c r="D46" s="1255"/>
      <c r="E46" s="1257"/>
      <c r="F46" s="1256"/>
      <c r="G46" s="1255"/>
      <c r="H46" s="1257"/>
      <c r="I46" s="1256"/>
      <c r="J46" s="1255"/>
      <c r="K46" s="1256"/>
      <c r="L46" s="1255"/>
      <c r="M46" s="1257"/>
      <c r="N46" s="1256"/>
      <c r="O46" s="1255">
        <f>SUM(D46:N46)</f>
        <v>0</v>
      </c>
      <c r="P46" s="1257"/>
      <c r="Q46" s="1256"/>
      <c r="R46" s="211"/>
      <c r="S46" s="212"/>
    </row>
    <row r="47" spans="1:23" ht="22.5" customHeight="1" x14ac:dyDescent="0.15">
      <c r="A47" s="205"/>
      <c r="B47" s="210"/>
      <c r="C47" s="1281"/>
      <c r="D47" s="1214">
        <f>別紙１④!$E$63/100</f>
        <v>23.55</v>
      </c>
      <c r="E47" s="1214"/>
      <c r="F47" s="1215"/>
      <c r="G47" s="1214">
        <f>別紙１④!$J$63/100</f>
        <v>81.8</v>
      </c>
      <c r="H47" s="1214"/>
      <c r="I47" s="1215"/>
      <c r="J47" s="1214">
        <f>別紙１④!$O$63/100</f>
        <v>0</v>
      </c>
      <c r="K47" s="1215"/>
      <c r="L47" s="1214">
        <f>別紙１④!$T$63/100</f>
        <v>0</v>
      </c>
      <c r="M47" s="1214"/>
      <c r="N47" s="1214"/>
      <c r="O47" s="1329">
        <f>別紙１④!$C$63/100</f>
        <v>105.35</v>
      </c>
      <c r="P47" s="1330"/>
      <c r="Q47" s="1331"/>
      <c r="R47" s="1210">
        <f>SUMIFS(別紙２①!$F$18:$F$29,別紙２①!$P$18:$P$29,"荒廃農地")/1000</f>
        <v>0</v>
      </c>
      <c r="S47" s="1206">
        <f>別紙１④!$I$63+別紙１④!$N$63+別紙１④!$S$63+別紙１④!$X$63+別紙１④!$T$71+別紙１④!$S$80+別紙１④!$S$88+別紙１④!$P$110+別紙１④!$P$119</f>
        <v>1221978</v>
      </c>
      <c r="W47" s="81"/>
    </row>
    <row r="48" spans="1:23" ht="73.150000000000006" customHeight="1" x14ac:dyDescent="0.15">
      <c r="A48" s="205"/>
      <c r="B48" s="210"/>
      <c r="C48" s="1282"/>
      <c r="D48" s="759" t="s">
        <v>341</v>
      </c>
      <c r="E48" s="1208"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 xml:space="preserve">急傾斜
緩傾斜
</v>
      </c>
      <c r="F48" s="1209"/>
      <c r="G48" s="759" t="s">
        <v>21</v>
      </c>
      <c r="H48" s="1208"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 xml:space="preserve">急傾斜
緩傾斜
</v>
      </c>
      <c r="I48" s="1209"/>
      <c r="J48" s="759" t="s">
        <v>21</v>
      </c>
      <c r="K48" s="323"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 xml:space="preserve">
</v>
      </c>
      <c r="L48" s="759" t="s">
        <v>21</v>
      </c>
      <c r="M48" s="1208" t="str">
        <f>IF(別紙１④!T56&gt;0,別紙１④!U56,"")&amp;CHAR(10)&amp;IF(別紙１④!T57&gt;0,別紙１④!U57,"")&amp;CHAR(10)&amp;IF(別紙１④!T58&gt;0,別紙１④!U58,"")&amp;CHAR(10)&amp;IF(別紙１④!T59&gt;0,別紙１④!U59,"")&amp;CHAR(10)&amp;IF(別紙１④!T60&gt;0,別紙１④!U60,"")</f>
        <v xml:space="preserve">
</v>
      </c>
      <c r="N48" s="1209"/>
      <c r="O48" s="1332"/>
      <c r="P48" s="1214"/>
      <c r="Q48" s="1215"/>
      <c r="R48" s="1211"/>
      <c r="S48" s="1207"/>
    </row>
    <row r="49" spans="1:39" ht="10.5" customHeight="1" x14ac:dyDescent="0.15">
      <c r="A49" s="205"/>
      <c r="B49" s="1244" t="s">
        <v>1997</v>
      </c>
      <c r="C49" s="1246" t="s">
        <v>33</v>
      </c>
      <c r="D49" s="1283">
        <v>0</v>
      </c>
      <c r="E49" s="1284"/>
      <c r="F49" s="1284"/>
      <c r="G49" s="1284"/>
      <c r="H49" s="1284"/>
      <c r="I49" s="1284"/>
      <c r="J49" s="1284"/>
      <c r="K49" s="1284"/>
      <c r="L49" s="1284"/>
      <c r="M49" s="1284"/>
      <c r="N49" s="1284"/>
      <c r="O49" s="1284"/>
      <c r="P49" s="1284"/>
      <c r="Q49" s="1284"/>
      <c r="R49" s="1325"/>
      <c r="S49" s="1004"/>
    </row>
    <row r="50" spans="1:39" ht="24" customHeight="1" x14ac:dyDescent="0.15">
      <c r="A50" s="205"/>
      <c r="B50" s="1245"/>
      <c r="C50" s="1247"/>
      <c r="D50" s="1326">
        <v>0</v>
      </c>
      <c r="E50" s="1327"/>
      <c r="F50" s="1327"/>
      <c r="G50" s="1327"/>
      <c r="H50" s="1327"/>
      <c r="I50" s="1327"/>
      <c r="J50" s="1327"/>
      <c r="K50" s="1327"/>
      <c r="L50" s="1327"/>
      <c r="M50" s="1327"/>
      <c r="N50" s="1327"/>
      <c r="O50" s="1327"/>
      <c r="P50" s="1327"/>
      <c r="Q50" s="1327"/>
      <c r="R50" s="1328"/>
      <c r="S50" s="1003">
        <v>0</v>
      </c>
    </row>
    <row r="51" spans="1:39" ht="63" customHeight="1" x14ac:dyDescent="0.15">
      <c r="A51" s="205"/>
      <c r="B51" s="1241" t="s">
        <v>59</v>
      </c>
      <c r="C51" s="1241"/>
      <c r="D51" s="1241"/>
      <c r="E51" s="1241"/>
      <c r="F51" s="1241"/>
      <c r="G51" s="1241"/>
      <c r="H51" s="1241"/>
      <c r="I51" s="1241"/>
      <c r="J51" s="1241"/>
      <c r="K51" s="1241"/>
      <c r="L51" s="1241"/>
      <c r="M51" s="1241"/>
      <c r="N51" s="1241"/>
      <c r="O51" s="1241"/>
      <c r="P51" s="1241"/>
      <c r="Q51" s="1241"/>
      <c r="R51" s="1241"/>
      <c r="S51" s="1241"/>
      <c r="T51" s="6"/>
      <c r="U51" s="6"/>
      <c r="V51" s="6"/>
      <c r="W51" s="6"/>
      <c r="X51" s="6"/>
      <c r="Y51" s="6"/>
      <c r="Z51" s="6"/>
      <c r="AA51" s="6"/>
      <c r="AB51" s="6"/>
      <c r="AC51" s="6"/>
      <c r="AD51" s="6"/>
      <c r="AE51" s="6"/>
      <c r="AF51" s="6"/>
      <c r="AG51" s="6"/>
      <c r="AH51" s="6"/>
      <c r="AI51" s="6"/>
      <c r="AJ51" s="6"/>
      <c r="AK51" s="6"/>
      <c r="AL51" s="6"/>
      <c r="AM51" s="6"/>
    </row>
    <row r="52" spans="1:39" s="2" customFormat="1" ht="23.25" customHeight="1" x14ac:dyDescent="0.15">
      <c r="A52" s="213"/>
      <c r="B52" s="1235" t="s">
        <v>22</v>
      </c>
      <c r="C52" s="1236"/>
      <c r="D52" s="1236"/>
      <c r="E52" s="1236"/>
      <c r="F52" s="1237"/>
      <c r="G52" s="1242" t="s">
        <v>0</v>
      </c>
      <c r="H52" s="1243"/>
      <c r="I52" s="1242"/>
      <c r="J52" s="1242" t="s">
        <v>1</v>
      </c>
      <c r="K52" s="1242"/>
      <c r="L52" s="1258" t="s">
        <v>2</v>
      </c>
      <c r="M52" s="1259"/>
      <c r="N52" s="1260"/>
      <c r="O52" s="214"/>
      <c r="P52" s="214"/>
      <c r="Q52" s="194"/>
      <c r="R52" s="194"/>
      <c r="S52" s="194"/>
    </row>
    <row r="53" spans="1:39" s="2" customFormat="1" ht="9" customHeight="1" x14ac:dyDescent="0.15">
      <c r="A53" s="213"/>
      <c r="B53" s="1238"/>
      <c r="C53" s="1239"/>
      <c r="D53" s="1239"/>
      <c r="E53" s="1239"/>
      <c r="F53" s="1240"/>
      <c r="G53" s="1261"/>
      <c r="H53" s="1262"/>
      <c r="I53" s="1261"/>
      <c r="J53" s="1261"/>
      <c r="K53" s="1261"/>
      <c r="L53" s="1345"/>
      <c r="M53" s="1346"/>
      <c r="N53" s="1345"/>
      <c r="O53" s="215"/>
      <c r="P53" s="215"/>
      <c r="Q53" s="194"/>
      <c r="R53" s="194"/>
      <c r="S53" s="194"/>
    </row>
    <row r="54" spans="1:39" s="2" customFormat="1" ht="22.5" customHeight="1" x14ac:dyDescent="0.15">
      <c r="A54" s="213"/>
      <c r="B54" s="1238"/>
      <c r="C54" s="1239"/>
      <c r="D54" s="1239"/>
      <c r="E54" s="1239"/>
      <c r="F54" s="1240"/>
      <c r="G54" s="1253">
        <v>0</v>
      </c>
      <c r="H54" s="1253"/>
      <c r="I54" s="1254"/>
      <c r="J54" s="1254">
        <v>0</v>
      </c>
      <c r="K54" s="1254"/>
      <c r="L54" s="1263">
        <v>0</v>
      </c>
      <c r="M54" s="1264"/>
      <c r="N54" s="1265"/>
      <c r="O54" s="216"/>
      <c r="P54" s="216"/>
      <c r="Q54" s="194"/>
      <c r="R54" s="194"/>
      <c r="S54" s="194"/>
    </row>
    <row r="55" spans="1:39" s="2" customFormat="1" ht="9" customHeight="1" x14ac:dyDescent="0.15">
      <c r="A55" s="213"/>
      <c r="B55" s="217"/>
      <c r="C55" s="1339" t="s">
        <v>53</v>
      </c>
      <c r="D55" s="1340"/>
      <c r="E55" s="1340"/>
      <c r="F55" s="1341"/>
      <c r="G55" s="1268"/>
      <c r="H55" s="1354"/>
      <c r="I55" s="1268"/>
      <c r="J55" s="1268"/>
      <c r="K55" s="1268"/>
      <c r="L55" s="1222"/>
      <c r="M55" s="1223"/>
      <c r="N55" s="1222"/>
      <c r="O55" s="218"/>
      <c r="P55" s="218"/>
      <c r="Q55" s="194"/>
      <c r="R55" s="194"/>
      <c r="S55" s="194"/>
    </row>
    <row r="56" spans="1:39" s="2" customFormat="1" ht="22.5" customHeight="1" x14ac:dyDescent="0.15">
      <c r="A56" s="213"/>
      <c r="B56" s="219"/>
      <c r="C56" s="1342"/>
      <c r="D56" s="1343"/>
      <c r="E56" s="1343"/>
      <c r="F56" s="1344"/>
      <c r="G56" s="1254">
        <v>0</v>
      </c>
      <c r="H56" s="1254"/>
      <c r="I56" s="1254"/>
      <c r="J56" s="1254">
        <v>0</v>
      </c>
      <c r="K56" s="1254"/>
      <c r="L56" s="1263">
        <v>0</v>
      </c>
      <c r="M56" s="1264"/>
      <c r="N56" s="1265"/>
      <c r="O56" s="216"/>
      <c r="P56" s="216"/>
      <c r="Q56" s="194"/>
      <c r="R56" s="194"/>
      <c r="S56" s="194"/>
    </row>
    <row r="57" spans="1:39" s="2" customFormat="1" ht="18" customHeight="1" x14ac:dyDescent="0.15">
      <c r="A57" s="213"/>
      <c r="B57" s="1252" t="s">
        <v>54</v>
      </c>
      <c r="C57" s="1252"/>
      <c r="D57" s="1252"/>
      <c r="E57" s="1252"/>
      <c r="F57" s="1252"/>
      <c r="G57" s="1252"/>
      <c r="H57" s="1252"/>
      <c r="I57" s="1252"/>
      <c r="J57" s="1252"/>
      <c r="K57" s="1252"/>
      <c r="L57" s="1252"/>
      <c r="M57" s="1252"/>
      <c r="N57" s="1252"/>
      <c r="O57" s="1252"/>
      <c r="P57" s="1252"/>
      <c r="Q57" s="1252"/>
      <c r="R57" s="1252"/>
      <c r="S57" s="1252"/>
    </row>
    <row r="58" spans="1:39" ht="18.600000000000001" customHeight="1" x14ac:dyDescent="0.15">
      <c r="A58" s="66"/>
      <c r="B58" s="203" t="s">
        <v>62</v>
      </c>
      <c r="C58" s="66"/>
      <c r="D58" s="66"/>
      <c r="E58" s="66"/>
      <c r="F58" s="66"/>
      <c r="G58" s="66"/>
      <c r="H58" s="66"/>
      <c r="I58" s="66"/>
      <c r="J58" s="66"/>
      <c r="K58" s="66"/>
      <c r="L58" s="66"/>
      <c r="M58" s="66"/>
      <c r="N58" s="66"/>
      <c r="O58" s="66"/>
      <c r="P58" s="66"/>
      <c r="Q58" s="66"/>
      <c r="R58" s="66"/>
      <c r="S58" s="66"/>
    </row>
    <row r="59" spans="1:39" s="8" customFormat="1" ht="17.45" customHeight="1" x14ac:dyDescent="0.15">
      <c r="A59" s="220"/>
      <c r="B59" s="1279" t="s">
        <v>2306</v>
      </c>
      <c r="C59" s="1279"/>
      <c r="D59" s="1279"/>
      <c r="E59" s="1279"/>
      <c r="F59" s="1279"/>
      <c r="G59" s="1279"/>
      <c r="H59" s="1279"/>
      <c r="I59" s="1279"/>
      <c r="J59" s="1279"/>
      <c r="K59" s="1279"/>
      <c r="L59" s="1279"/>
      <c r="M59" s="1279"/>
      <c r="N59" s="1279"/>
      <c r="O59" s="1279"/>
      <c r="P59" s="1279"/>
      <c r="Q59" s="1279"/>
      <c r="R59" s="1279"/>
      <c r="S59" s="1279"/>
    </row>
    <row r="60" spans="1:39" ht="18.600000000000001" customHeight="1" x14ac:dyDescent="0.15">
      <c r="A60" s="66"/>
      <c r="B60" s="203" t="s">
        <v>63</v>
      </c>
      <c r="C60" s="66"/>
      <c r="D60" s="66"/>
      <c r="E60" s="66"/>
      <c r="F60" s="66"/>
      <c r="G60" s="66"/>
      <c r="H60" s="66"/>
      <c r="I60" s="66"/>
      <c r="J60" s="66"/>
      <c r="K60" s="66"/>
      <c r="L60" s="66"/>
      <c r="M60" s="66"/>
      <c r="N60" s="66"/>
      <c r="O60" s="66"/>
      <c r="P60" s="66"/>
      <c r="Q60" s="66"/>
      <c r="R60" s="66"/>
      <c r="S60" s="66"/>
    </row>
    <row r="61" spans="1:39" ht="31.5" customHeight="1" x14ac:dyDescent="0.15">
      <c r="A61" s="220"/>
      <c r="B61" s="1266" t="s">
        <v>2307</v>
      </c>
      <c r="C61" s="1267"/>
      <c r="D61" s="1267"/>
      <c r="E61" s="1267"/>
      <c r="F61" s="1267"/>
      <c r="G61" s="1267"/>
      <c r="H61" s="1267"/>
      <c r="I61" s="1267"/>
      <c r="J61" s="1267"/>
      <c r="K61" s="1267"/>
      <c r="L61" s="1267"/>
      <c r="M61" s="1267"/>
      <c r="N61" s="1267"/>
      <c r="O61" s="1267"/>
      <c r="P61" s="1267"/>
      <c r="Q61" s="1267"/>
      <c r="R61" s="1267"/>
      <c r="S61" s="1267"/>
    </row>
    <row r="62" spans="1:39" ht="18.600000000000001" customHeight="1" x14ac:dyDescent="0.15">
      <c r="A62" s="66"/>
      <c r="B62" s="203" t="s">
        <v>66</v>
      </c>
      <c r="C62" s="66"/>
      <c r="D62" s="203"/>
      <c r="E62" s="203"/>
      <c r="F62" s="203"/>
      <c r="G62" s="203"/>
      <c r="H62" s="203"/>
      <c r="I62" s="203"/>
      <c r="J62" s="203"/>
      <c r="K62" s="203"/>
      <c r="L62" s="203"/>
      <c r="M62" s="203"/>
      <c r="N62" s="203"/>
      <c r="O62" s="203"/>
      <c r="P62" s="203"/>
      <c r="Q62" s="203"/>
      <c r="R62" s="66"/>
      <c r="S62" s="66"/>
    </row>
    <row r="63" spans="1:39" ht="30" customHeight="1" x14ac:dyDescent="0.15">
      <c r="A63" s="66"/>
      <c r="B63" s="1205" t="s">
        <v>64</v>
      </c>
      <c r="C63" s="1205"/>
      <c r="D63" s="1205"/>
      <c r="E63" s="1205"/>
      <c r="F63" s="1205"/>
      <c r="G63" s="66"/>
      <c r="H63" s="66"/>
      <c r="I63" s="66"/>
      <c r="J63" s="66"/>
      <c r="K63" s="66"/>
      <c r="L63" s="66"/>
      <c r="M63" s="66"/>
      <c r="N63" s="66"/>
      <c r="O63" s="66"/>
      <c r="P63" s="66"/>
      <c r="Q63" s="66"/>
      <c r="R63" s="66"/>
      <c r="S63" s="66"/>
    </row>
    <row r="64" spans="1:39" ht="9" customHeight="1" x14ac:dyDescent="0.15">
      <c r="A64" s="66"/>
      <c r="B64" s="1219">
        <f>O44+O46-D64</f>
        <v>0</v>
      </c>
      <c r="C64" s="1220"/>
      <c r="D64" s="1220"/>
      <c r="E64" s="1220"/>
      <c r="F64" s="1221"/>
      <c r="G64" s="66"/>
      <c r="H64" s="66"/>
      <c r="I64" s="66"/>
      <c r="J64" s="66"/>
      <c r="K64" s="66"/>
      <c r="L64" s="66"/>
      <c r="M64" s="66"/>
      <c r="N64" s="66"/>
      <c r="O64" s="66"/>
      <c r="P64" s="66"/>
      <c r="Q64" s="66"/>
      <c r="R64" s="66"/>
      <c r="S64" s="66"/>
    </row>
    <row r="65" spans="1:39" ht="22.5" customHeight="1" x14ac:dyDescent="0.15">
      <c r="A65" s="66"/>
      <c r="B65" s="1248">
        <v>100</v>
      </c>
      <c r="C65" s="1248"/>
      <c r="D65" s="1248"/>
      <c r="E65" s="1248"/>
      <c r="F65" s="1248"/>
      <c r="G65" s="221"/>
      <c r="H65" s="221"/>
      <c r="I65" s="221"/>
      <c r="J65" s="221"/>
      <c r="K65" s="221"/>
      <c r="L65" s="221"/>
      <c r="M65" s="221"/>
      <c r="N65" s="221"/>
      <c r="O65" s="221"/>
      <c r="P65" s="221"/>
      <c r="Q65" s="221"/>
      <c r="R65" s="221"/>
      <c r="S65" s="221"/>
      <c r="T65" s="3"/>
      <c r="U65" s="3"/>
      <c r="V65" s="3"/>
      <c r="W65" s="3"/>
      <c r="X65" s="3"/>
    </row>
    <row r="66" spans="1:39" ht="15" customHeight="1" x14ac:dyDescent="0.15">
      <c r="B66" s="1127"/>
      <c r="C66" s="1127"/>
      <c r="D66" s="1127"/>
      <c r="E66" s="1127"/>
      <c r="F66" s="1127"/>
      <c r="G66" s="1127"/>
      <c r="H66" s="1127"/>
      <c r="I66" s="1127"/>
      <c r="J66" s="1127"/>
      <c r="K66" s="1127"/>
      <c r="L66" s="1127"/>
      <c r="M66" s="1127"/>
      <c r="N66" s="1127"/>
      <c r="O66" s="1127"/>
      <c r="P66" s="1127"/>
      <c r="Q66" s="1127"/>
      <c r="R66" s="1127"/>
      <c r="S66" s="1127"/>
      <c r="T66" s="3"/>
      <c r="U66" s="3"/>
      <c r="V66" s="3"/>
      <c r="W66" s="3"/>
      <c r="X66" s="3"/>
      <c r="Y66" s="3"/>
      <c r="Z66" s="3"/>
      <c r="AA66" s="3"/>
      <c r="AB66" s="3"/>
      <c r="AC66" s="3"/>
      <c r="AD66" s="3"/>
      <c r="AE66" s="3"/>
      <c r="AF66" s="3"/>
      <c r="AG66" s="3"/>
      <c r="AH66" s="3"/>
      <c r="AI66" s="3"/>
      <c r="AJ66" s="3"/>
      <c r="AK66" s="3"/>
      <c r="AL66" s="3"/>
      <c r="AM66" s="3"/>
    </row>
    <row r="67" spans="1:39" ht="27.75" customHeight="1" x14ac:dyDescent="0.15">
      <c r="B67" s="1322" t="s">
        <v>2308</v>
      </c>
      <c r="C67" s="1322"/>
      <c r="D67" s="1322"/>
      <c r="E67" s="1322"/>
      <c r="F67" s="1322"/>
      <c r="G67" s="1322"/>
      <c r="H67" s="1322"/>
      <c r="I67" s="1322"/>
      <c r="J67" s="1322"/>
      <c r="K67" s="1322"/>
      <c r="L67" s="1322"/>
      <c r="M67" s="1322"/>
      <c r="N67" s="1322"/>
      <c r="O67" s="1322"/>
      <c r="P67" s="1322"/>
      <c r="Q67" s="1322"/>
      <c r="R67" s="1322"/>
      <c r="S67" s="1322"/>
      <c r="T67" s="3"/>
      <c r="U67" s="3"/>
      <c r="V67" s="3"/>
      <c r="W67" s="3"/>
      <c r="X67" s="3"/>
      <c r="Y67" s="3"/>
      <c r="Z67" s="3"/>
      <c r="AA67" s="3"/>
      <c r="AB67" s="3"/>
      <c r="AC67" s="3"/>
      <c r="AD67" s="3"/>
      <c r="AE67" s="3"/>
      <c r="AF67" s="3"/>
      <c r="AG67" s="3"/>
      <c r="AH67" s="3"/>
      <c r="AI67" s="3"/>
      <c r="AJ67" s="3"/>
      <c r="AK67" s="3"/>
      <c r="AL67" s="3"/>
      <c r="AM67" s="3"/>
    </row>
    <row r="68" spans="1:39" ht="15" customHeight="1" x14ac:dyDescent="0.15">
      <c r="B68" s="222" t="s">
        <v>15</v>
      </c>
      <c r="C68" s="194"/>
      <c r="D68" s="11"/>
      <c r="E68" s="11"/>
      <c r="F68" s="11"/>
      <c r="G68" s="11"/>
      <c r="H68" s="11"/>
      <c r="I68" s="11"/>
      <c r="J68" s="11"/>
      <c r="K68" s="11"/>
      <c r="L68" s="11"/>
      <c r="M68" s="11"/>
      <c r="N68" s="11"/>
      <c r="O68" s="11"/>
      <c r="P68" s="11"/>
      <c r="Q68" s="11"/>
      <c r="R68" s="11"/>
      <c r="S68" s="11"/>
    </row>
    <row r="69" spans="1:39" ht="24.75" customHeight="1" x14ac:dyDescent="0.15">
      <c r="B69" s="1307" t="s">
        <v>2309</v>
      </c>
      <c r="C69" s="1307"/>
      <c r="D69" s="1307"/>
      <c r="E69" s="1307"/>
      <c r="F69" s="1307"/>
      <c r="G69" s="1307"/>
      <c r="H69" s="1307"/>
      <c r="I69" s="1307"/>
      <c r="J69" s="1307"/>
      <c r="K69" s="1307"/>
      <c r="L69" s="1307"/>
      <c r="M69" s="1307"/>
      <c r="N69" s="1307"/>
      <c r="O69" s="1307"/>
      <c r="P69" s="1307"/>
      <c r="Q69" s="1307"/>
      <c r="R69" s="1307"/>
      <c r="S69" s="1307"/>
      <c r="T69" s="3"/>
      <c r="U69" s="3"/>
      <c r="V69" s="3"/>
      <c r="W69" s="3"/>
      <c r="X69" s="3"/>
      <c r="Y69" s="3"/>
      <c r="Z69" s="3"/>
      <c r="AA69" s="3"/>
      <c r="AB69" s="3"/>
      <c r="AC69" s="3"/>
      <c r="AD69" s="3"/>
      <c r="AE69" s="3"/>
      <c r="AF69" s="3"/>
      <c r="AG69" s="3"/>
      <c r="AH69" s="3"/>
      <c r="AI69" s="3"/>
      <c r="AJ69" s="3"/>
      <c r="AK69" s="3"/>
      <c r="AL69" s="3"/>
      <c r="AM69" s="3"/>
    </row>
    <row r="106" spans="2:21" ht="22.5" customHeight="1" x14ac:dyDescent="0.15">
      <c r="B106" s="7"/>
      <c r="D106" s="4"/>
      <c r="E106" s="4"/>
      <c r="F106" s="4"/>
      <c r="G106" s="4"/>
      <c r="H106" s="4"/>
      <c r="I106" s="4"/>
      <c r="J106" s="4"/>
      <c r="K106" s="4"/>
      <c r="L106" s="4"/>
      <c r="M106" s="4"/>
      <c r="N106" s="4"/>
      <c r="O106" s="4"/>
      <c r="P106" s="4"/>
      <c r="Q106" s="4"/>
      <c r="R106" s="4"/>
      <c r="S106" s="4"/>
      <c r="T106" s="4"/>
      <c r="U106" s="4"/>
    </row>
    <row r="109" spans="2:21" ht="30" customHeight="1" x14ac:dyDescent="0.15"/>
    <row r="321" ht="65.25" customHeight="1" x14ac:dyDescent="0.15"/>
  </sheetData>
  <mergeCells count="126">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R2:S2"/>
    <mergeCell ref="D6:F6"/>
    <mergeCell ref="D7:F7"/>
    <mergeCell ref="D9:F9"/>
    <mergeCell ref="D10:F10"/>
    <mergeCell ref="G7:Q7"/>
    <mergeCell ref="G6:Q6"/>
    <mergeCell ref="G9:Q9"/>
    <mergeCell ref="G10:Q10"/>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s>
  <phoneticPr fontId="3"/>
  <dataValidations count="6">
    <dataValidation imeMode="off" allowBlank="1" showInputMessage="1" showErrorMessage="1" sqref="R47 L55:P55 L53:P53 G53:K56 D44:K45 R44:S45 S50"/>
    <dataValidation imeMode="hiragana" allowBlank="1" showInputMessage="1" showErrorMessage="1" sqref="G12:Q12 G9:Q9 G6:Q6"/>
    <dataValidation type="list" allowBlank="1" showInputMessage="1" showErrorMessage="1" prompt="7~11を選択" sqref="P38 P32 P34 P36 P40 E38 H38 M38 E32 H32 M32 E34 H34 M34 E36 H36 M36 E40 H40 M40">
      <formula1>"7,8,9,10,11"</formula1>
    </dataValidation>
    <dataValidation allowBlank="1" showInputMessage="1" showErrorMessage="1" prompt="自動入力" sqref="J38:K38 J32:K32 J34:K34 J36:K36 J40:K40"/>
    <dataValidation type="list" allowBlank="1" showInputMessage="1" showErrorMessage="1" prompt="該当する場合「☑」を選択" sqref="D22">
      <formula1>"□,☑"</formula1>
    </dataValidation>
    <dataValidation type="list" allowBlank="1"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0" fitToWidth="0" fitToHeight="0" orientation="portrait" r:id="rId1"/>
  <rowBreaks count="1" manualBreakCount="1">
    <brk id="26" max="19" man="1"/>
  </rowBreaks>
  <drawing r:id="rId2"/>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AND(別紙１④!$A$155="✓",$B$65="")</xm:f>
            <x14:dxf>
              <fill>
                <patternFill>
                  <bgColor rgb="FFFF0000"/>
                </patternFill>
              </fill>
            </x14:dxf>
          </x14:cfRule>
          <xm:sqref>B65:F65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sheetPr>
  <dimension ref="A1:H31"/>
  <sheetViews>
    <sheetView showGridLines="0" tabSelected="1" view="pageBreakPreview" zoomScale="73" zoomScaleNormal="55" zoomScaleSheetLayoutView="100" workbookViewId="0">
      <selection activeCell="S8" sqref="S8"/>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x14ac:dyDescent="0.15">
      <c r="A1" s="66"/>
      <c r="B1" s="66" t="s">
        <v>51</v>
      </c>
      <c r="C1" s="66"/>
      <c r="D1" s="66"/>
      <c r="E1" s="66"/>
      <c r="F1" s="66"/>
      <c r="G1" s="66"/>
      <c r="H1" s="66"/>
    </row>
    <row r="2" spans="1:8" x14ac:dyDescent="0.15">
      <c r="A2" s="66"/>
      <c r="B2" s="232" t="s">
        <v>23</v>
      </c>
      <c r="C2" s="233"/>
      <c r="D2" s="233"/>
      <c r="E2" s="233"/>
      <c r="F2" s="233"/>
      <c r="G2" s="233"/>
      <c r="H2" s="233" t="s">
        <v>24</v>
      </c>
    </row>
    <row r="3" spans="1:8" s="9" customFormat="1" ht="24" customHeight="1" x14ac:dyDescent="0.15">
      <c r="A3" s="226"/>
      <c r="B3" s="744" t="str">
        <f>別紙１①!D19</f>
        <v>□</v>
      </c>
      <c r="C3" s="226" t="s">
        <v>25</v>
      </c>
      <c r="D3" s="234" t="str">
        <f>別紙１①!D20</f>
        <v>☑</v>
      </c>
      <c r="E3" s="226" t="s">
        <v>26</v>
      </c>
      <c r="F3" s="234" t="str">
        <f>別紙１①!D21</f>
        <v>□</v>
      </c>
      <c r="G3" s="226" t="s">
        <v>27</v>
      </c>
      <c r="H3" s="235" t="str">
        <f>はじめに!D5&amp;""</f>
        <v>真庭集落協定</v>
      </c>
    </row>
    <row r="4" spans="1:8" s="7" customFormat="1" ht="14.25" customHeight="1" x14ac:dyDescent="0.15">
      <c r="A4" s="236"/>
      <c r="B4" s="237"/>
      <c r="C4" s="238"/>
      <c r="D4" s="239"/>
      <c r="E4" s="238"/>
      <c r="F4" s="239"/>
      <c r="G4" s="238"/>
      <c r="H4" s="240"/>
    </row>
    <row r="5" spans="1:8" x14ac:dyDescent="0.15">
      <c r="B5" s="10"/>
      <c r="C5" s="25"/>
      <c r="D5" s="26"/>
      <c r="E5" s="26"/>
      <c r="F5" s="26"/>
      <c r="G5" s="26"/>
      <c r="H5" s="27"/>
    </row>
    <row r="6" spans="1:8" x14ac:dyDescent="0.15">
      <c r="B6" s="10"/>
      <c r="C6" s="28"/>
      <c r="D6" s="29"/>
      <c r="E6" s="29"/>
      <c r="F6" s="29"/>
      <c r="G6" s="29"/>
      <c r="H6" s="30"/>
    </row>
    <row r="7" spans="1:8" x14ac:dyDescent="0.15">
      <c r="B7" s="10"/>
      <c r="C7" s="28"/>
      <c r="D7" s="29"/>
      <c r="E7" s="29"/>
      <c r="F7" s="29"/>
      <c r="G7" s="29"/>
      <c r="H7" s="30"/>
    </row>
    <row r="8" spans="1:8" x14ac:dyDescent="0.15">
      <c r="B8" s="10"/>
      <c r="C8" s="28"/>
      <c r="D8" s="29"/>
      <c r="E8" s="29"/>
      <c r="F8" s="29"/>
      <c r="G8" s="29"/>
      <c r="H8" s="30"/>
    </row>
    <row r="9" spans="1:8" x14ac:dyDescent="0.15">
      <c r="B9" s="10"/>
      <c r="C9" s="28"/>
      <c r="D9" s="29"/>
      <c r="E9" s="29"/>
      <c r="F9" s="29"/>
      <c r="G9" s="29"/>
      <c r="H9" s="30"/>
    </row>
    <row r="10" spans="1:8" x14ac:dyDescent="0.15">
      <c r="B10" s="10"/>
      <c r="C10" s="28"/>
      <c r="D10" s="29"/>
      <c r="E10" s="29"/>
      <c r="F10" s="29"/>
      <c r="G10" s="29"/>
      <c r="H10" s="30"/>
    </row>
    <row r="11" spans="1:8" x14ac:dyDescent="0.15">
      <c r="B11" s="10"/>
      <c r="C11" s="28"/>
      <c r="D11" s="29"/>
      <c r="E11" s="29"/>
      <c r="F11" s="29"/>
      <c r="G11" s="29"/>
      <c r="H11" s="30"/>
    </row>
    <row r="12" spans="1:8" x14ac:dyDescent="0.15">
      <c r="B12" s="10"/>
      <c r="C12" s="28"/>
      <c r="D12" s="29"/>
      <c r="E12" s="29"/>
      <c r="F12" s="29"/>
      <c r="G12" s="29"/>
      <c r="H12" s="30"/>
    </row>
    <row r="13" spans="1:8" x14ac:dyDescent="0.15">
      <c r="B13" s="10"/>
      <c r="C13" s="28"/>
      <c r="D13" s="29"/>
      <c r="E13" s="29"/>
      <c r="F13" s="29"/>
      <c r="G13" s="29"/>
      <c r="H13" s="30"/>
    </row>
    <row r="14" spans="1:8" x14ac:dyDescent="0.15">
      <c r="B14" s="10"/>
      <c r="C14" s="28"/>
      <c r="D14" s="29"/>
      <c r="E14" s="29"/>
      <c r="F14" s="29"/>
      <c r="G14" s="29"/>
      <c r="H14" s="30"/>
    </row>
    <row r="15" spans="1:8" x14ac:dyDescent="0.15">
      <c r="B15" s="10"/>
      <c r="C15" s="28"/>
      <c r="D15" s="29"/>
      <c r="E15" s="29"/>
      <c r="F15" s="29"/>
      <c r="G15" s="29"/>
      <c r="H15" s="30"/>
    </row>
    <row r="16" spans="1:8" x14ac:dyDescent="0.15">
      <c r="B16" s="10"/>
      <c r="C16" s="28"/>
      <c r="D16" s="29"/>
      <c r="E16" s="29"/>
      <c r="F16" s="29"/>
      <c r="G16" s="29"/>
      <c r="H16" s="30"/>
    </row>
    <row r="17" spans="2:8" x14ac:dyDescent="0.15">
      <c r="B17" s="10"/>
      <c r="C17" s="28"/>
      <c r="D17" s="29"/>
      <c r="E17" s="29"/>
      <c r="F17" s="29"/>
      <c r="G17" s="29"/>
      <c r="H17" s="30"/>
    </row>
    <row r="18" spans="2:8" x14ac:dyDescent="0.15">
      <c r="B18" s="10"/>
      <c r="C18" s="28"/>
      <c r="D18" s="29"/>
      <c r="E18" s="29"/>
      <c r="F18" s="29"/>
      <c r="G18" s="29"/>
      <c r="H18" s="30"/>
    </row>
    <row r="19" spans="2:8" x14ac:dyDescent="0.15">
      <c r="B19" s="10"/>
      <c r="C19" s="28"/>
      <c r="D19" s="29"/>
      <c r="E19" s="29"/>
      <c r="F19" s="29"/>
      <c r="G19" s="29"/>
      <c r="H19" s="30"/>
    </row>
    <row r="20" spans="2:8" x14ac:dyDescent="0.15">
      <c r="B20" s="10"/>
      <c r="C20" s="28"/>
      <c r="D20" s="29"/>
      <c r="E20" s="29"/>
      <c r="F20" s="29"/>
      <c r="G20" s="29"/>
      <c r="H20" s="30"/>
    </row>
    <row r="21" spans="2:8" x14ac:dyDescent="0.15">
      <c r="B21" s="10"/>
      <c r="C21" s="28"/>
      <c r="D21" s="29"/>
      <c r="E21" s="29"/>
      <c r="F21" s="29"/>
      <c r="G21" s="29"/>
      <c r="H21" s="30"/>
    </row>
    <row r="22" spans="2:8" x14ac:dyDescent="0.15">
      <c r="B22" s="10"/>
      <c r="C22" s="28"/>
      <c r="D22" s="29"/>
      <c r="E22" s="29"/>
      <c r="F22" s="29"/>
      <c r="G22" s="29"/>
      <c r="H22" s="30"/>
    </row>
    <row r="23" spans="2:8" x14ac:dyDescent="0.15">
      <c r="B23" s="10"/>
      <c r="C23" s="28"/>
      <c r="D23" s="29"/>
      <c r="E23" s="29"/>
      <c r="F23" s="29"/>
      <c r="G23" s="29"/>
      <c r="H23" s="30"/>
    </row>
    <row r="24" spans="2:8" x14ac:dyDescent="0.15">
      <c r="B24" s="10"/>
      <c r="C24" s="28"/>
      <c r="D24" s="29"/>
      <c r="E24" s="29"/>
      <c r="F24" s="29"/>
      <c r="G24" s="29"/>
      <c r="H24" s="30"/>
    </row>
    <row r="25" spans="2:8" x14ac:dyDescent="0.15">
      <c r="B25" s="10"/>
      <c r="C25" s="28"/>
      <c r="D25" s="29"/>
      <c r="E25" s="29"/>
      <c r="F25" s="29"/>
      <c r="G25" s="29"/>
      <c r="H25" s="30"/>
    </row>
    <row r="26" spans="2:8" x14ac:dyDescent="0.15">
      <c r="B26" s="10"/>
      <c r="C26" s="28"/>
      <c r="D26" s="29"/>
      <c r="E26" s="29"/>
      <c r="F26" s="29"/>
      <c r="G26" s="29"/>
      <c r="H26" s="30"/>
    </row>
    <row r="27" spans="2:8" x14ac:dyDescent="0.15">
      <c r="B27" s="10"/>
      <c r="C27" s="28"/>
      <c r="D27" s="29"/>
      <c r="E27" s="29"/>
      <c r="F27" s="29"/>
      <c r="G27" s="29"/>
      <c r="H27" s="30"/>
    </row>
    <row r="28" spans="2:8" x14ac:dyDescent="0.15">
      <c r="B28" s="10"/>
      <c r="C28" s="28"/>
      <c r="D28" s="29"/>
      <c r="E28" s="29"/>
      <c r="F28" s="29"/>
      <c r="G28" s="29"/>
      <c r="H28" s="30"/>
    </row>
    <row r="29" spans="2:8" x14ac:dyDescent="0.15">
      <c r="B29" s="10"/>
      <c r="C29" s="28"/>
      <c r="D29" s="29"/>
      <c r="E29" s="29"/>
      <c r="F29" s="29"/>
      <c r="G29" s="29"/>
      <c r="H29" s="30"/>
    </row>
    <row r="30" spans="2:8" x14ac:dyDescent="0.15">
      <c r="B30" s="10"/>
      <c r="C30" s="28"/>
      <c r="D30" s="29"/>
      <c r="E30" s="29"/>
      <c r="F30" s="29"/>
      <c r="G30" s="29"/>
      <c r="H30" s="30"/>
    </row>
    <row r="31" spans="2:8" x14ac:dyDescent="0.15">
      <c r="B31" s="10"/>
      <c r="C31" s="31"/>
      <c r="D31" s="24"/>
      <c r="E31" s="24"/>
      <c r="F31" s="24"/>
      <c r="G31" s="24"/>
      <c r="H31" s="32"/>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pageSetUpPr fitToPage="1"/>
  </sheetPr>
  <dimension ref="A1:AL61"/>
  <sheetViews>
    <sheetView showGridLines="0" tabSelected="1" view="pageBreakPreview" topLeftCell="A52" zoomScaleNormal="100" zoomScaleSheetLayoutView="100" workbookViewId="0">
      <selection activeCell="S8" sqref="S8"/>
    </sheetView>
  </sheetViews>
  <sheetFormatPr defaultColWidth="5.625" defaultRowHeight="28.5" x14ac:dyDescent="0.15"/>
  <cols>
    <col min="1" max="1" width="17.5" style="35" customWidth="1"/>
    <col min="2" max="2" width="32.625" style="35" customWidth="1"/>
    <col min="3" max="3" width="41.625" style="35" customWidth="1"/>
    <col min="4" max="7" width="6" style="35" customWidth="1"/>
    <col min="8" max="10" width="10.5" style="35" customWidth="1"/>
    <col min="11" max="11" width="5.875" style="82" customWidth="1"/>
    <col min="12" max="12" width="11.125" style="35" customWidth="1"/>
    <col min="13" max="15" width="5.5" style="35" customWidth="1"/>
    <col min="16" max="36" width="5.625" style="35"/>
    <col min="37" max="37" width="5.625" style="82"/>
    <col min="38" max="255" width="5.625" style="35"/>
    <col min="256" max="257" width="7.5" style="35" customWidth="1"/>
    <col min="258" max="511" width="5.625" style="35"/>
    <col min="512" max="513" width="7.5" style="35" customWidth="1"/>
    <col min="514" max="767" width="5.625" style="35"/>
    <col min="768" max="769" width="7.5" style="35" customWidth="1"/>
    <col min="770" max="1023" width="5.625" style="35"/>
    <col min="1024" max="1025" width="7.5" style="35" customWidth="1"/>
    <col min="1026" max="1279" width="5.625" style="35"/>
    <col min="1280" max="1281" width="7.5" style="35" customWidth="1"/>
    <col min="1282" max="1535" width="5.625" style="35"/>
    <col min="1536" max="1537" width="7.5" style="35" customWidth="1"/>
    <col min="1538" max="1791" width="5.625" style="35"/>
    <col min="1792" max="1793" width="7.5" style="35" customWidth="1"/>
    <col min="1794" max="2047" width="5.625" style="35"/>
    <col min="2048" max="2049" width="7.5" style="35" customWidth="1"/>
    <col min="2050" max="2303" width="5.625" style="35"/>
    <col min="2304" max="2305" width="7.5" style="35" customWidth="1"/>
    <col min="2306" max="2559" width="5.625" style="35"/>
    <col min="2560" max="2561" width="7.5" style="35" customWidth="1"/>
    <col min="2562" max="2815" width="5.625" style="35"/>
    <col min="2816" max="2817" width="7.5" style="35" customWidth="1"/>
    <col min="2818" max="3071" width="5.625" style="35"/>
    <col min="3072" max="3073" width="7.5" style="35" customWidth="1"/>
    <col min="3074" max="3327" width="5.625" style="35"/>
    <col min="3328" max="3329" width="7.5" style="35" customWidth="1"/>
    <col min="3330" max="3583" width="5.625" style="35"/>
    <col min="3584" max="3585" width="7.5" style="35" customWidth="1"/>
    <col min="3586" max="3839" width="5.625" style="35"/>
    <col min="3840" max="3841" width="7.5" style="35" customWidth="1"/>
    <col min="3842" max="4095" width="5.625" style="35"/>
    <col min="4096" max="4097" width="7.5" style="35" customWidth="1"/>
    <col min="4098" max="4351" width="5.625" style="35"/>
    <col min="4352" max="4353" width="7.5" style="35" customWidth="1"/>
    <col min="4354" max="4607" width="5.625" style="35"/>
    <col min="4608" max="4609" width="7.5" style="35" customWidth="1"/>
    <col min="4610" max="4863" width="5.625" style="35"/>
    <col min="4864" max="4865" width="7.5" style="35" customWidth="1"/>
    <col min="4866" max="5119" width="5.625" style="35"/>
    <col min="5120" max="5121" width="7.5" style="35" customWidth="1"/>
    <col min="5122" max="5375" width="5.625" style="35"/>
    <col min="5376" max="5377" width="7.5" style="35" customWidth="1"/>
    <col min="5378" max="5631" width="5.625" style="35"/>
    <col min="5632" max="5633" width="7.5" style="35" customWidth="1"/>
    <col min="5634" max="5887" width="5.625" style="35"/>
    <col min="5888" max="5889" width="7.5" style="35" customWidth="1"/>
    <col min="5890" max="6143" width="5.625" style="35"/>
    <col min="6144" max="6145" width="7.5" style="35" customWidth="1"/>
    <col min="6146" max="6399" width="5.625" style="35"/>
    <col min="6400" max="6401" width="7.5" style="35" customWidth="1"/>
    <col min="6402" max="6655" width="5.625" style="35"/>
    <col min="6656" max="6657" width="7.5" style="35" customWidth="1"/>
    <col min="6658" max="6911" width="5.625" style="35"/>
    <col min="6912" max="6913" width="7.5" style="35" customWidth="1"/>
    <col min="6914" max="7167" width="5.625" style="35"/>
    <col min="7168" max="7169" width="7.5" style="35" customWidth="1"/>
    <col min="7170" max="7423" width="5.625" style="35"/>
    <col min="7424" max="7425" width="7.5" style="35" customWidth="1"/>
    <col min="7426" max="7679" width="5.625" style="35"/>
    <col min="7680" max="7681" width="7.5" style="35" customWidth="1"/>
    <col min="7682" max="7935" width="5.625" style="35"/>
    <col min="7936" max="7937" width="7.5" style="35" customWidth="1"/>
    <col min="7938" max="8191" width="5.625" style="35"/>
    <col min="8192" max="8193" width="7.5" style="35" customWidth="1"/>
    <col min="8194" max="8447" width="5.625" style="35"/>
    <col min="8448" max="8449" width="7.5" style="35" customWidth="1"/>
    <col min="8450" max="8703" width="5.625" style="35"/>
    <col min="8704" max="8705" width="7.5" style="35" customWidth="1"/>
    <col min="8706" max="8959" width="5.625" style="35"/>
    <col min="8960" max="8961" width="7.5" style="35" customWidth="1"/>
    <col min="8962" max="9215" width="5.625" style="35"/>
    <col min="9216" max="9217" width="7.5" style="35" customWidth="1"/>
    <col min="9218" max="9471" width="5.625" style="35"/>
    <col min="9472" max="9473" width="7.5" style="35" customWidth="1"/>
    <col min="9474" max="9727" width="5.625" style="35"/>
    <col min="9728" max="9729" width="7.5" style="35" customWidth="1"/>
    <col min="9730" max="9983" width="5.625" style="35"/>
    <col min="9984" max="9985" width="7.5" style="35" customWidth="1"/>
    <col min="9986" max="10239" width="5.625" style="35"/>
    <col min="10240" max="10241" width="7.5" style="35" customWidth="1"/>
    <col min="10242" max="10495" width="5.625" style="35"/>
    <col min="10496" max="10497" width="7.5" style="35" customWidth="1"/>
    <col min="10498" max="10751" width="5.625" style="35"/>
    <col min="10752" max="10753" width="7.5" style="35" customWidth="1"/>
    <col min="10754" max="11007" width="5.625" style="35"/>
    <col min="11008" max="11009" width="7.5" style="35" customWidth="1"/>
    <col min="11010" max="11263" width="5.625" style="35"/>
    <col min="11264" max="11265" width="7.5" style="35" customWidth="1"/>
    <col min="11266" max="11519" width="5.625" style="35"/>
    <col min="11520" max="11521" width="7.5" style="35" customWidth="1"/>
    <col min="11522" max="11775" width="5.625" style="35"/>
    <col min="11776" max="11777" width="7.5" style="35" customWidth="1"/>
    <col min="11778" max="12031" width="5.625" style="35"/>
    <col min="12032" max="12033" width="7.5" style="35" customWidth="1"/>
    <col min="12034" max="12287" width="5.625" style="35"/>
    <col min="12288" max="12289" width="7.5" style="35" customWidth="1"/>
    <col min="12290" max="12543" width="5.625" style="35"/>
    <col min="12544" max="12545" width="7.5" style="35" customWidth="1"/>
    <col min="12546" max="12799" width="5.625" style="35"/>
    <col min="12800" max="12801" width="7.5" style="35" customWidth="1"/>
    <col min="12802" max="13055" width="5.625" style="35"/>
    <col min="13056" max="13057" width="7.5" style="35" customWidth="1"/>
    <col min="13058" max="13311" width="5.625" style="35"/>
    <col min="13312" max="13313" width="7.5" style="35" customWidth="1"/>
    <col min="13314" max="13567" width="5.625" style="35"/>
    <col min="13568" max="13569" width="7.5" style="35" customWidth="1"/>
    <col min="13570" max="13823" width="5.625" style="35"/>
    <col min="13824" max="13825" width="7.5" style="35" customWidth="1"/>
    <col min="13826" max="14079" width="5.625" style="35"/>
    <col min="14080" max="14081" width="7.5" style="35" customWidth="1"/>
    <col min="14082" max="14335" width="5.625" style="35"/>
    <col min="14336" max="14337" width="7.5" style="35" customWidth="1"/>
    <col min="14338" max="14591" width="5.625" style="35"/>
    <col min="14592" max="14593" width="7.5" style="35" customWidth="1"/>
    <col min="14594" max="14847" width="5.625" style="35"/>
    <col min="14848" max="14849" width="7.5" style="35" customWidth="1"/>
    <col min="14850" max="15103" width="5.625" style="35"/>
    <col min="15104" max="15105" width="7.5" style="35" customWidth="1"/>
    <col min="15106" max="15359" width="5.625" style="35"/>
    <col min="15360" max="15361" width="7.5" style="35" customWidth="1"/>
    <col min="15362" max="15615" width="5.625" style="35"/>
    <col min="15616" max="15617" width="7.5" style="35" customWidth="1"/>
    <col min="15618" max="15871" width="5.625" style="35"/>
    <col min="15872" max="15873" width="7.5" style="35" customWidth="1"/>
    <col min="15874" max="16127" width="5.625" style="35"/>
    <col min="16128" max="16129" width="7.5" style="35" customWidth="1"/>
    <col min="16130" max="16384" width="5.625" style="35"/>
  </cols>
  <sheetData>
    <row r="1" spans="1:38" ht="36.75" customHeight="1" x14ac:dyDescent="0.15">
      <c r="A1" s="33" t="s">
        <v>72</v>
      </c>
      <c r="B1" s="34"/>
      <c r="C1" s="34"/>
      <c r="D1" s="34"/>
      <c r="E1" s="34"/>
      <c r="F1" s="34"/>
      <c r="G1" s="34"/>
      <c r="H1" s="34"/>
      <c r="I1" s="34"/>
    </row>
    <row r="2" spans="1:38" ht="28.5" customHeight="1" x14ac:dyDescent="0.15">
      <c r="A2" s="1365" t="s">
        <v>40</v>
      </c>
      <c r="B2" s="1365"/>
      <c r="C2" s="1365"/>
      <c r="D2" s="1365"/>
      <c r="E2" s="1365"/>
      <c r="F2" s="1365"/>
      <c r="G2" s="1365"/>
      <c r="H2" s="1365"/>
      <c r="I2" s="1365"/>
      <c r="K2" s="84"/>
      <c r="L2" s="1373"/>
      <c r="M2" s="1373"/>
      <c r="N2" s="1373"/>
      <c r="O2" s="1373"/>
      <c r="P2" s="1373"/>
    </row>
    <row r="3" spans="1:38" ht="28.5" customHeight="1" x14ac:dyDescent="0.15">
      <c r="A3" s="36"/>
      <c r="B3" s="37"/>
      <c r="C3" s="37"/>
      <c r="D3" s="37"/>
      <c r="E3" s="37"/>
      <c r="F3" s="37"/>
      <c r="G3" s="37"/>
      <c r="H3" s="76" t="str">
        <f>参４_申請!F3</f>
        <v>年　　月　　日</v>
      </c>
      <c r="I3" s="77"/>
      <c r="K3" s="84"/>
      <c r="L3" s="38"/>
      <c r="M3" s="38"/>
      <c r="N3" s="38"/>
      <c r="O3" s="38"/>
      <c r="P3" s="38"/>
    </row>
    <row r="4" spans="1:38" ht="39.75" customHeight="1" x14ac:dyDescent="0.15">
      <c r="A4" s="1366" t="s">
        <v>799</v>
      </c>
      <c r="B4" s="1369" t="s">
        <v>73</v>
      </c>
      <c r="C4" s="1366" t="s">
        <v>800</v>
      </c>
      <c r="D4" s="1375" t="s">
        <v>789</v>
      </c>
      <c r="E4" s="1376"/>
      <c r="F4" s="1377"/>
      <c r="G4" s="1370" t="s">
        <v>791</v>
      </c>
      <c r="H4" s="1371"/>
      <c r="I4" s="1371"/>
      <c r="J4" s="1372"/>
      <c r="K4" s="1378" t="s">
        <v>19</v>
      </c>
      <c r="L4" s="1379"/>
      <c r="M4" s="1379"/>
      <c r="N4" s="1379"/>
      <c r="O4" s="1380"/>
      <c r="P4" s="39"/>
    </row>
    <row r="5" spans="1:38" ht="39.75" customHeight="1" x14ac:dyDescent="0.15">
      <c r="A5" s="1367"/>
      <c r="B5" s="1367"/>
      <c r="C5" s="1367"/>
      <c r="D5" s="1005"/>
      <c r="E5" s="1381" t="s">
        <v>74</v>
      </c>
      <c r="F5" s="1381" t="s">
        <v>793</v>
      </c>
      <c r="G5" s="191"/>
      <c r="H5" s="1383" t="s">
        <v>74</v>
      </c>
      <c r="I5" s="1383" t="s">
        <v>798</v>
      </c>
      <c r="J5" s="1388" t="s">
        <v>2436</v>
      </c>
      <c r="K5" s="1008"/>
      <c r="L5" s="1384" t="s">
        <v>792</v>
      </c>
      <c r="M5" s="1385" t="s">
        <v>794</v>
      </c>
      <c r="N5" s="1386"/>
      <c r="O5" s="1387"/>
      <c r="P5" s="39"/>
    </row>
    <row r="6" spans="1:38" ht="63.75" customHeight="1" x14ac:dyDescent="0.15">
      <c r="A6" s="1368"/>
      <c r="B6" s="1368"/>
      <c r="C6" s="1368"/>
      <c r="D6" s="1006"/>
      <c r="E6" s="1382"/>
      <c r="F6" s="1382"/>
      <c r="G6" s="192"/>
      <c r="H6" s="1383"/>
      <c r="I6" s="1383"/>
      <c r="J6" s="1388"/>
      <c r="K6" s="1009"/>
      <c r="L6" s="1384"/>
      <c r="M6" s="1010" t="s">
        <v>795</v>
      </c>
      <c r="N6" s="1011" t="s">
        <v>796</v>
      </c>
      <c r="O6" s="1011" t="s">
        <v>797</v>
      </c>
      <c r="P6" s="38"/>
    </row>
    <row r="7" spans="1:38" ht="27" customHeight="1" x14ac:dyDescent="0.15">
      <c r="A7" s="290" t="s">
        <v>83</v>
      </c>
      <c r="B7" s="290" t="s">
        <v>75</v>
      </c>
      <c r="C7" s="291" t="s">
        <v>76</v>
      </c>
      <c r="D7" s="1007"/>
      <c r="E7" s="1007"/>
      <c r="F7" s="1007"/>
      <c r="G7" s="290" t="s">
        <v>790</v>
      </c>
      <c r="H7" s="292" t="s">
        <v>77</v>
      </c>
      <c r="I7" s="292" t="s">
        <v>88</v>
      </c>
      <c r="J7" s="290" t="s">
        <v>790</v>
      </c>
      <c r="K7" s="1012"/>
      <c r="L7" s="1013"/>
      <c r="M7" s="1014"/>
      <c r="N7" s="1014"/>
      <c r="O7" s="1014"/>
      <c r="AK7" s="82" t="s">
        <v>360</v>
      </c>
      <c r="AL7" s="83"/>
    </row>
    <row r="8" spans="1:38" ht="27" customHeight="1" x14ac:dyDescent="0.15">
      <c r="A8" s="290" t="s">
        <v>84</v>
      </c>
      <c r="B8" s="290" t="s">
        <v>75</v>
      </c>
      <c r="C8" s="291" t="s">
        <v>76</v>
      </c>
      <c r="D8" s="1007"/>
      <c r="E8" s="1007"/>
      <c r="F8" s="1007"/>
      <c r="G8" s="290" t="s">
        <v>790</v>
      </c>
      <c r="H8" s="293" t="s">
        <v>81</v>
      </c>
      <c r="I8" s="293" t="s">
        <v>189</v>
      </c>
      <c r="J8" s="290" t="s">
        <v>790</v>
      </c>
      <c r="K8" s="1012"/>
      <c r="L8" s="1015"/>
      <c r="M8" s="1014"/>
      <c r="N8" s="1014"/>
      <c r="O8" s="1014"/>
      <c r="AK8" s="82" t="s">
        <v>360</v>
      </c>
      <c r="AL8" s="83"/>
    </row>
    <row r="9" spans="1:38" ht="27" customHeight="1" x14ac:dyDescent="0.15">
      <c r="A9" s="290" t="s">
        <v>85</v>
      </c>
      <c r="B9" s="290" t="s">
        <v>75</v>
      </c>
      <c r="C9" s="291" t="s">
        <v>76</v>
      </c>
      <c r="D9" s="1007"/>
      <c r="E9" s="1007"/>
      <c r="F9" s="1007"/>
      <c r="G9" s="290" t="s">
        <v>790</v>
      </c>
      <c r="H9" s="293" t="s">
        <v>81</v>
      </c>
      <c r="I9" s="293" t="s">
        <v>91</v>
      </c>
      <c r="J9" s="290" t="s">
        <v>790</v>
      </c>
      <c r="K9" s="1012"/>
      <c r="L9" s="1015"/>
      <c r="M9" s="1014"/>
      <c r="N9" s="1014"/>
      <c r="O9" s="1014"/>
      <c r="AK9" s="82" t="s">
        <v>360</v>
      </c>
      <c r="AL9" s="83"/>
    </row>
    <row r="10" spans="1:38" ht="27" customHeight="1" x14ac:dyDescent="0.15">
      <c r="A10" s="290"/>
      <c r="B10" s="290" t="s">
        <v>87</v>
      </c>
      <c r="C10" s="291" t="s">
        <v>76</v>
      </c>
      <c r="D10" s="1007"/>
      <c r="E10" s="1007"/>
      <c r="F10" s="1007"/>
      <c r="G10" s="290" t="s">
        <v>790</v>
      </c>
      <c r="H10" s="293" t="s">
        <v>80</v>
      </c>
      <c r="I10" s="293" t="s">
        <v>79</v>
      </c>
      <c r="J10" s="290" t="s">
        <v>790</v>
      </c>
      <c r="K10" s="1012"/>
      <c r="L10" s="1015"/>
      <c r="M10" s="1014"/>
      <c r="N10" s="1014"/>
      <c r="O10" s="1014"/>
      <c r="AK10" s="82" t="s">
        <v>360</v>
      </c>
      <c r="AL10" s="83"/>
    </row>
    <row r="11" spans="1:38" ht="27" customHeight="1" x14ac:dyDescent="0.15">
      <c r="A11" s="290"/>
      <c r="B11" s="290" t="s">
        <v>273</v>
      </c>
      <c r="C11" s="291" t="s">
        <v>76</v>
      </c>
      <c r="D11" s="1007"/>
      <c r="E11" s="1007"/>
      <c r="F11" s="1007"/>
      <c r="G11" s="290" t="s">
        <v>790</v>
      </c>
      <c r="H11" s="293" t="s">
        <v>82</v>
      </c>
      <c r="I11" s="293" t="s">
        <v>79</v>
      </c>
      <c r="J11" s="290" t="s">
        <v>790</v>
      </c>
      <c r="K11" s="1012"/>
      <c r="L11" s="1015"/>
      <c r="M11" s="1014"/>
      <c r="N11" s="1014"/>
      <c r="O11" s="1014"/>
      <c r="AK11" s="82" t="s">
        <v>360</v>
      </c>
      <c r="AL11" s="83"/>
    </row>
    <row r="12" spans="1:38" ht="27" customHeight="1" x14ac:dyDescent="0.15">
      <c r="A12" s="290"/>
      <c r="B12" s="290" t="s">
        <v>274</v>
      </c>
      <c r="C12" s="291" t="s">
        <v>76</v>
      </c>
      <c r="D12" s="1007"/>
      <c r="E12" s="1007"/>
      <c r="F12" s="1007"/>
      <c r="G12" s="290" t="s">
        <v>790</v>
      </c>
      <c r="H12" s="293" t="s">
        <v>262</v>
      </c>
      <c r="I12" s="293" t="s">
        <v>79</v>
      </c>
      <c r="J12" s="290" t="s">
        <v>790</v>
      </c>
      <c r="K12" s="1012"/>
      <c r="L12" s="1015"/>
      <c r="M12" s="1014"/>
      <c r="N12" s="1014"/>
      <c r="O12" s="1014"/>
      <c r="AK12" s="82" t="s">
        <v>360</v>
      </c>
      <c r="AL12" s="83"/>
    </row>
    <row r="13" spans="1:38" ht="27" customHeight="1" x14ac:dyDescent="0.15">
      <c r="A13" s="290"/>
      <c r="B13" s="290" t="s">
        <v>275</v>
      </c>
      <c r="C13" s="291" t="s">
        <v>76</v>
      </c>
      <c r="D13" s="1007"/>
      <c r="E13" s="1007"/>
      <c r="F13" s="1007"/>
      <c r="G13" s="290" t="s">
        <v>790</v>
      </c>
      <c r="H13" s="293" t="s">
        <v>263</v>
      </c>
      <c r="I13" s="293" t="s">
        <v>79</v>
      </c>
      <c r="J13" s="290" t="s">
        <v>790</v>
      </c>
      <c r="K13" s="1012"/>
      <c r="L13" s="1015"/>
      <c r="M13" s="1014"/>
      <c r="N13" s="1014"/>
      <c r="O13" s="1014"/>
      <c r="AK13" s="82" t="s">
        <v>360</v>
      </c>
      <c r="AL13" s="83"/>
    </row>
    <row r="14" spans="1:38" ht="27" customHeight="1" x14ac:dyDescent="0.15">
      <c r="A14" s="290"/>
      <c r="B14" s="290" t="s">
        <v>75</v>
      </c>
      <c r="C14" s="291" t="s">
        <v>76</v>
      </c>
      <c r="D14" s="1007"/>
      <c r="E14" s="1007"/>
      <c r="F14" s="1007"/>
      <c r="G14" s="290" t="s">
        <v>790</v>
      </c>
      <c r="H14" s="293" t="s">
        <v>264</v>
      </c>
      <c r="I14" s="293" t="s">
        <v>79</v>
      </c>
      <c r="J14" s="290" t="s">
        <v>790</v>
      </c>
      <c r="K14" s="1012"/>
      <c r="L14" s="1015"/>
      <c r="M14" s="1014"/>
      <c r="N14" s="1014"/>
      <c r="O14" s="1014"/>
      <c r="AK14" s="82" t="s">
        <v>360</v>
      </c>
      <c r="AL14" s="83"/>
    </row>
    <row r="15" spans="1:38" ht="27" customHeight="1" x14ac:dyDescent="0.15">
      <c r="A15" s="290"/>
      <c r="B15" s="290" t="s">
        <v>89</v>
      </c>
      <c r="C15" s="291" t="s">
        <v>76</v>
      </c>
      <c r="D15" s="1007"/>
      <c r="E15" s="1007"/>
      <c r="F15" s="1007"/>
      <c r="G15" s="290" t="s">
        <v>790</v>
      </c>
      <c r="H15" s="293" t="s">
        <v>265</v>
      </c>
      <c r="I15" s="293" t="s">
        <v>79</v>
      </c>
      <c r="J15" s="290" t="s">
        <v>790</v>
      </c>
      <c r="K15" s="1012"/>
      <c r="L15" s="1015"/>
      <c r="M15" s="1014"/>
      <c r="N15" s="1014"/>
      <c r="O15" s="1014"/>
      <c r="AK15" s="82" t="s">
        <v>360</v>
      </c>
      <c r="AL15" s="83"/>
    </row>
    <row r="16" spans="1:38" ht="27" customHeight="1" x14ac:dyDescent="0.15">
      <c r="A16" s="290"/>
      <c r="B16" s="290" t="s">
        <v>267</v>
      </c>
      <c r="C16" s="291" t="s">
        <v>76</v>
      </c>
      <c r="D16" s="1007"/>
      <c r="E16" s="1007"/>
      <c r="F16" s="1007"/>
      <c r="G16" s="290" t="s">
        <v>790</v>
      </c>
      <c r="H16" s="293" t="s">
        <v>266</v>
      </c>
      <c r="I16" s="293" t="s">
        <v>79</v>
      </c>
      <c r="J16" s="290" t="s">
        <v>790</v>
      </c>
      <c r="K16" s="1012"/>
      <c r="L16" s="1015"/>
      <c r="M16" s="1014"/>
      <c r="N16" s="1014"/>
      <c r="O16" s="1014"/>
      <c r="AK16" s="82" t="s">
        <v>360</v>
      </c>
      <c r="AL16" s="83"/>
    </row>
    <row r="17" spans="1:38" ht="27" customHeight="1" x14ac:dyDescent="0.15">
      <c r="A17" s="290"/>
      <c r="B17" s="290" t="s">
        <v>75</v>
      </c>
      <c r="C17" s="291" t="s">
        <v>76</v>
      </c>
      <c r="D17" s="1007"/>
      <c r="E17" s="1007"/>
      <c r="F17" s="1007"/>
      <c r="G17" s="290" t="s">
        <v>790</v>
      </c>
      <c r="H17" s="293" t="s">
        <v>268</v>
      </c>
      <c r="I17" s="293" t="s">
        <v>79</v>
      </c>
      <c r="J17" s="290" t="s">
        <v>790</v>
      </c>
      <c r="K17" s="1012"/>
      <c r="L17" s="1015"/>
      <c r="M17" s="1014"/>
      <c r="N17" s="1014"/>
      <c r="O17" s="1014"/>
      <c r="AK17" s="82" t="s">
        <v>360</v>
      </c>
      <c r="AL17" s="83"/>
    </row>
    <row r="18" spans="1:38" ht="27" customHeight="1" x14ac:dyDescent="0.15">
      <c r="A18" s="290"/>
      <c r="B18" s="290" t="s">
        <v>75</v>
      </c>
      <c r="C18" s="291" t="s">
        <v>76</v>
      </c>
      <c r="D18" s="1007"/>
      <c r="E18" s="1007"/>
      <c r="F18" s="1007"/>
      <c r="G18" s="290" t="s">
        <v>790</v>
      </c>
      <c r="H18" s="293" t="s">
        <v>269</v>
      </c>
      <c r="I18" s="293" t="s">
        <v>271</v>
      </c>
      <c r="J18" s="290" t="s">
        <v>790</v>
      </c>
      <c r="K18" s="1012"/>
      <c r="L18" s="1015"/>
      <c r="M18" s="1014"/>
      <c r="N18" s="1014"/>
      <c r="O18" s="1014"/>
      <c r="AK18" s="82" t="s">
        <v>360</v>
      </c>
      <c r="AL18" s="83"/>
    </row>
    <row r="19" spans="1:38" ht="27" customHeight="1" x14ac:dyDescent="0.15">
      <c r="A19" s="290"/>
      <c r="B19" s="290" t="s">
        <v>75</v>
      </c>
      <c r="C19" s="291" t="s">
        <v>76</v>
      </c>
      <c r="D19" s="1007"/>
      <c r="E19" s="1007"/>
      <c r="F19" s="1007"/>
      <c r="G19" s="290" t="s">
        <v>790</v>
      </c>
      <c r="H19" s="293" t="s">
        <v>270</v>
      </c>
      <c r="I19" s="293" t="s">
        <v>79</v>
      </c>
      <c r="J19" s="290" t="s">
        <v>790</v>
      </c>
      <c r="K19" s="1012"/>
      <c r="L19" s="1015"/>
      <c r="M19" s="1014"/>
      <c r="N19" s="1014"/>
      <c r="O19" s="1014"/>
      <c r="AK19" s="82" t="s">
        <v>360</v>
      </c>
      <c r="AL19" s="83"/>
    </row>
    <row r="20" spans="1:38" ht="27" customHeight="1" x14ac:dyDescent="0.15">
      <c r="A20" s="290"/>
      <c r="B20" s="290" t="s">
        <v>75</v>
      </c>
      <c r="C20" s="291" t="s">
        <v>76</v>
      </c>
      <c r="D20" s="1007"/>
      <c r="E20" s="1007"/>
      <c r="F20" s="1007"/>
      <c r="G20" s="290" t="s">
        <v>790</v>
      </c>
      <c r="H20" s="293" t="s">
        <v>77</v>
      </c>
      <c r="I20" s="293" t="s">
        <v>78</v>
      </c>
      <c r="J20" s="290" t="s">
        <v>790</v>
      </c>
      <c r="K20" s="1012"/>
      <c r="L20" s="1016"/>
      <c r="M20" s="1014"/>
      <c r="N20" s="1014"/>
      <c r="O20" s="1014"/>
      <c r="AK20" s="82" t="s">
        <v>360</v>
      </c>
      <c r="AL20" s="83"/>
    </row>
    <row r="21" spans="1:38" ht="27" customHeight="1" x14ac:dyDescent="0.15">
      <c r="A21" s="290"/>
      <c r="B21" s="290" t="s">
        <v>75</v>
      </c>
      <c r="C21" s="291" t="s">
        <v>76</v>
      </c>
      <c r="D21" s="1007"/>
      <c r="E21" s="1007"/>
      <c r="F21" s="1007"/>
      <c r="G21" s="290" t="s">
        <v>790</v>
      </c>
      <c r="H21" s="293" t="s">
        <v>81</v>
      </c>
      <c r="I21" s="293" t="s">
        <v>90</v>
      </c>
      <c r="J21" s="290" t="s">
        <v>790</v>
      </c>
      <c r="K21" s="1012"/>
      <c r="L21" s="1015"/>
      <c r="M21" s="1014"/>
      <c r="N21" s="1014"/>
      <c r="O21" s="1014"/>
      <c r="AK21" s="82" t="s">
        <v>360</v>
      </c>
      <c r="AL21" s="83"/>
    </row>
    <row r="22" spans="1:38" ht="27" customHeight="1" x14ac:dyDescent="0.15">
      <c r="A22" s="290"/>
      <c r="B22" s="290" t="s">
        <v>75</v>
      </c>
      <c r="C22" s="291" t="s">
        <v>76</v>
      </c>
      <c r="D22" s="1007"/>
      <c r="E22" s="1007"/>
      <c r="F22" s="1007"/>
      <c r="G22" s="290" t="s">
        <v>790</v>
      </c>
      <c r="H22" s="293" t="s">
        <v>80</v>
      </c>
      <c r="I22" s="293" t="s">
        <v>79</v>
      </c>
      <c r="J22" s="290" t="s">
        <v>790</v>
      </c>
      <c r="K22" s="1012"/>
      <c r="L22" s="1015"/>
      <c r="M22" s="1014"/>
      <c r="N22" s="1014"/>
      <c r="O22" s="1014"/>
      <c r="AK22" s="82" t="s">
        <v>360</v>
      </c>
      <c r="AL22" s="83"/>
    </row>
    <row r="23" spans="1:38" ht="27" customHeight="1" x14ac:dyDescent="0.15">
      <c r="A23" s="290"/>
      <c r="B23" s="290" t="s">
        <v>75</v>
      </c>
      <c r="C23" s="291" t="s">
        <v>76</v>
      </c>
      <c r="D23" s="1007"/>
      <c r="E23" s="1007"/>
      <c r="F23" s="1007"/>
      <c r="G23" s="290" t="s">
        <v>790</v>
      </c>
      <c r="H23" s="293" t="s">
        <v>1053</v>
      </c>
      <c r="I23" s="293" t="s">
        <v>79</v>
      </c>
      <c r="J23" s="290" t="s">
        <v>790</v>
      </c>
      <c r="K23" s="1012"/>
      <c r="L23" s="1015"/>
      <c r="M23" s="1014"/>
      <c r="N23" s="1014"/>
      <c r="O23" s="1014"/>
      <c r="AK23" s="82" t="s">
        <v>360</v>
      </c>
      <c r="AL23" s="83"/>
    </row>
    <row r="24" spans="1:38" ht="27" customHeight="1" x14ac:dyDescent="0.15">
      <c r="A24" s="290"/>
      <c r="B24" s="290" t="s">
        <v>75</v>
      </c>
      <c r="C24" s="291" t="s">
        <v>76</v>
      </c>
      <c r="D24" s="1007"/>
      <c r="E24" s="1007"/>
      <c r="F24" s="1007"/>
      <c r="G24" s="290" t="s">
        <v>790</v>
      </c>
      <c r="H24" s="293" t="s">
        <v>270</v>
      </c>
      <c r="I24" s="293" t="s">
        <v>79</v>
      </c>
      <c r="J24" s="290" t="s">
        <v>790</v>
      </c>
      <c r="K24" s="1012"/>
      <c r="L24" s="1015"/>
      <c r="M24" s="1014"/>
      <c r="N24" s="1014"/>
      <c r="O24" s="1014"/>
      <c r="AK24" s="82" t="s">
        <v>360</v>
      </c>
      <c r="AL24" s="83"/>
    </row>
    <row r="25" spans="1:38" ht="27" customHeight="1" x14ac:dyDescent="0.15">
      <c r="A25" s="290"/>
      <c r="B25" s="290" t="s">
        <v>75</v>
      </c>
      <c r="C25" s="291" t="s">
        <v>76</v>
      </c>
      <c r="D25" s="1007"/>
      <c r="E25" s="1007"/>
      <c r="F25" s="1007"/>
      <c r="G25" s="290" t="s">
        <v>790</v>
      </c>
      <c r="H25" s="293" t="s">
        <v>77</v>
      </c>
      <c r="I25" s="293" t="s">
        <v>189</v>
      </c>
      <c r="J25" s="290" t="s">
        <v>790</v>
      </c>
      <c r="K25" s="1012"/>
      <c r="L25" s="1016"/>
      <c r="M25" s="1014"/>
      <c r="N25" s="1014"/>
      <c r="O25" s="1014"/>
      <c r="AK25" s="82" t="s">
        <v>360</v>
      </c>
      <c r="AL25" s="83"/>
    </row>
    <row r="26" spans="1:38" ht="27" customHeight="1" x14ac:dyDescent="0.15">
      <c r="A26" s="290"/>
      <c r="B26" s="290" t="s">
        <v>75</v>
      </c>
      <c r="C26" s="291" t="s">
        <v>76</v>
      </c>
      <c r="D26" s="1007"/>
      <c r="E26" s="1007"/>
      <c r="F26" s="1007"/>
      <c r="G26" s="290" t="s">
        <v>790</v>
      </c>
      <c r="H26" s="293" t="s">
        <v>81</v>
      </c>
      <c r="I26" s="293" t="s">
        <v>90</v>
      </c>
      <c r="J26" s="290" t="s">
        <v>790</v>
      </c>
      <c r="K26" s="1012"/>
      <c r="L26" s="1015"/>
      <c r="M26" s="1014"/>
      <c r="N26" s="1014"/>
      <c r="O26" s="1014"/>
      <c r="AK26" s="82" t="s">
        <v>360</v>
      </c>
      <c r="AL26" s="83"/>
    </row>
    <row r="27" spans="1:38" ht="27" customHeight="1" x14ac:dyDescent="0.15">
      <c r="A27" s="290"/>
      <c r="B27" s="290" t="s">
        <v>75</v>
      </c>
      <c r="C27" s="291" t="s">
        <v>76</v>
      </c>
      <c r="D27" s="1007"/>
      <c r="E27" s="1007"/>
      <c r="F27" s="1007"/>
      <c r="G27" s="290" t="s">
        <v>790</v>
      </c>
      <c r="H27" s="293" t="s">
        <v>77</v>
      </c>
      <c r="I27" s="293" t="s">
        <v>78</v>
      </c>
      <c r="J27" s="290" t="s">
        <v>790</v>
      </c>
      <c r="K27" s="1012"/>
      <c r="L27" s="1015"/>
      <c r="M27" s="1014"/>
      <c r="N27" s="1014"/>
      <c r="O27" s="1014"/>
      <c r="AK27" s="82" t="s">
        <v>360</v>
      </c>
      <c r="AL27" s="83"/>
    </row>
    <row r="28" spans="1:38" ht="27" customHeight="1" x14ac:dyDescent="0.15">
      <c r="A28" s="290"/>
      <c r="B28" s="290" t="s">
        <v>75</v>
      </c>
      <c r="C28" s="291" t="s">
        <v>76</v>
      </c>
      <c r="D28" s="1007"/>
      <c r="E28" s="1007"/>
      <c r="F28" s="1007"/>
      <c r="G28" s="290" t="s">
        <v>790</v>
      </c>
      <c r="H28" s="293" t="s">
        <v>81</v>
      </c>
      <c r="I28" s="293" t="s">
        <v>272</v>
      </c>
      <c r="J28" s="290" t="s">
        <v>790</v>
      </c>
      <c r="K28" s="1012"/>
      <c r="L28" s="1015"/>
      <c r="M28" s="1014"/>
      <c r="N28" s="1014"/>
      <c r="O28" s="1014"/>
      <c r="AK28" s="82" t="s">
        <v>360</v>
      </c>
      <c r="AL28" s="83"/>
    </row>
    <row r="29" spans="1:38" ht="27" customHeight="1" x14ac:dyDescent="0.15">
      <c r="A29" s="290"/>
      <c r="B29" s="290"/>
      <c r="C29" s="291"/>
      <c r="D29" s="1007"/>
      <c r="E29" s="1007"/>
      <c r="F29" s="1007"/>
      <c r="G29" s="291"/>
      <c r="H29" s="293"/>
      <c r="I29" s="293"/>
      <c r="J29" s="1104"/>
      <c r="K29" s="1012"/>
      <c r="L29" s="1015"/>
      <c r="M29" s="1014"/>
      <c r="N29" s="1014"/>
      <c r="O29" s="1014"/>
      <c r="AL29" s="83"/>
    </row>
    <row r="30" spans="1:38" x14ac:dyDescent="0.15">
      <c r="A30" s="290"/>
      <c r="B30" s="290"/>
      <c r="C30" s="291"/>
      <c r="D30" s="1007"/>
      <c r="E30" s="1007"/>
      <c r="F30" s="1007"/>
      <c r="G30" s="291"/>
      <c r="H30" s="293"/>
      <c r="I30" s="293"/>
      <c r="J30" s="1104"/>
      <c r="K30" s="1012"/>
      <c r="L30" s="1014"/>
      <c r="M30" s="1014"/>
      <c r="N30" s="1014"/>
      <c r="O30" s="1014"/>
    </row>
    <row r="31" spans="1:38" x14ac:dyDescent="0.15">
      <c r="A31" s="290"/>
      <c r="B31" s="290"/>
      <c r="C31" s="291"/>
      <c r="D31" s="1007"/>
      <c r="E31" s="1007"/>
      <c r="F31" s="1007"/>
      <c r="G31" s="291"/>
      <c r="H31" s="293"/>
      <c r="I31" s="293"/>
      <c r="J31" s="1104"/>
      <c r="K31" s="1012"/>
      <c r="L31" s="1014"/>
      <c r="M31" s="1014"/>
      <c r="N31" s="1014"/>
      <c r="O31" s="1014"/>
    </row>
    <row r="32" spans="1:38" x14ac:dyDescent="0.15">
      <c r="A32" s="290"/>
      <c r="B32" s="290"/>
      <c r="C32" s="291"/>
      <c r="D32" s="1007"/>
      <c r="E32" s="1007"/>
      <c r="F32" s="1007"/>
      <c r="G32" s="291"/>
      <c r="H32" s="293"/>
      <c r="I32" s="293"/>
      <c r="J32" s="1104"/>
      <c r="K32" s="1012"/>
      <c r="L32" s="1014"/>
      <c r="M32" s="1014"/>
      <c r="N32" s="1014"/>
      <c r="O32" s="1014"/>
    </row>
    <row r="33" spans="1:37" s="87" customFormat="1" ht="19.149999999999999" customHeight="1" x14ac:dyDescent="0.2">
      <c r="A33" s="975"/>
      <c r="B33" s="976"/>
      <c r="C33" s="976" t="s">
        <v>280</v>
      </c>
      <c r="D33" s="976"/>
      <c r="E33" s="976"/>
      <c r="F33" s="976"/>
      <c r="G33" s="976"/>
      <c r="H33" s="976"/>
      <c r="I33" s="976"/>
      <c r="J33" s="1105"/>
      <c r="K33" s="976"/>
      <c r="L33" s="976"/>
      <c r="M33" s="976"/>
      <c r="N33" s="976"/>
      <c r="O33" s="976"/>
      <c r="P33" s="241"/>
      <c r="Q33"/>
      <c r="R33"/>
      <c r="S33"/>
      <c r="T33"/>
      <c r="U33"/>
      <c r="V33"/>
      <c r="W33"/>
      <c r="X33"/>
      <c r="Y33"/>
    </row>
    <row r="34" spans="1:37" x14ac:dyDescent="0.15">
      <c r="A34" s="188"/>
      <c r="B34" s="44"/>
      <c r="C34" s="44"/>
      <c r="D34" s="44"/>
      <c r="E34" s="44"/>
      <c r="F34" s="44"/>
      <c r="G34" s="44"/>
      <c r="H34" s="45"/>
      <c r="I34" s="45"/>
    </row>
    <row r="35" spans="1:37" x14ac:dyDescent="0.15">
      <c r="A35" s="1363"/>
      <c r="B35" s="1364"/>
      <c r="C35" s="1364"/>
      <c r="D35" s="1364"/>
      <c r="E35" s="1364"/>
      <c r="F35" s="1364"/>
      <c r="G35" s="1364"/>
      <c r="H35" s="1364"/>
      <c r="I35" s="1364"/>
    </row>
    <row r="36" spans="1:37" x14ac:dyDescent="0.15">
      <c r="A36" s="47"/>
      <c r="B36" s="47"/>
      <c r="C36" s="47"/>
      <c r="D36" s="47"/>
      <c r="E36" s="47"/>
      <c r="F36" s="47"/>
      <c r="G36" s="47"/>
      <c r="H36" s="48"/>
      <c r="I36" s="46"/>
    </row>
    <row r="37" spans="1:37" s="187" customFormat="1" ht="29.25" customHeight="1" x14ac:dyDescent="0.15">
      <c r="A37" s="189" t="s">
        <v>788</v>
      </c>
      <c r="B37" s="189"/>
      <c r="C37" s="1017" t="s">
        <v>787</v>
      </c>
      <c r="D37" s="190"/>
      <c r="E37" s="190"/>
      <c r="F37" s="190"/>
      <c r="G37" s="190"/>
      <c r="H37" s="193" t="s">
        <v>774</v>
      </c>
      <c r="I37" s="185"/>
      <c r="J37" s="35"/>
      <c r="K37" s="186"/>
      <c r="AK37" s="186"/>
    </row>
    <row r="38" spans="1:37" x14ac:dyDescent="0.15">
      <c r="A38" s="42"/>
      <c r="B38" s="40"/>
      <c r="C38" s="40"/>
      <c r="D38" s="40"/>
      <c r="E38" s="40"/>
      <c r="F38" s="40"/>
      <c r="G38" s="40"/>
      <c r="H38" s="48"/>
      <c r="I38" s="49"/>
      <c r="J38" s="187"/>
    </row>
    <row r="39" spans="1:37" x14ac:dyDescent="0.15">
      <c r="A39" s="42"/>
      <c r="B39" s="40"/>
      <c r="C39" s="40"/>
      <c r="D39" s="40"/>
      <c r="E39" s="40"/>
      <c r="F39" s="40"/>
      <c r="G39" s="40"/>
      <c r="H39" s="48"/>
      <c r="I39" s="46"/>
    </row>
    <row r="40" spans="1:37" x14ac:dyDescent="0.15">
      <c r="A40" s="42"/>
      <c r="B40" s="41"/>
      <c r="C40" s="41"/>
      <c r="D40" s="41"/>
      <c r="E40" s="41"/>
      <c r="F40" s="41"/>
      <c r="G40" s="41"/>
      <c r="H40" s="48"/>
    </row>
    <row r="41" spans="1:37" x14ac:dyDescent="0.15">
      <c r="A41" s="43"/>
      <c r="B41" s="41"/>
      <c r="C41" s="41"/>
      <c r="D41" s="41"/>
      <c r="E41" s="41"/>
      <c r="F41" s="41"/>
      <c r="G41" s="41"/>
      <c r="H41" s="48"/>
    </row>
    <row r="42" spans="1:37" x14ac:dyDescent="0.15">
      <c r="A42" s="43"/>
      <c r="B42" s="41"/>
      <c r="C42" s="41"/>
      <c r="D42" s="41"/>
      <c r="E42" s="41"/>
      <c r="F42" s="41"/>
      <c r="G42" s="41"/>
      <c r="H42" s="48"/>
    </row>
    <row r="43" spans="1:37" x14ac:dyDescent="0.15">
      <c r="A43" s="43"/>
      <c r="B43" s="41"/>
      <c r="C43" s="41"/>
      <c r="D43" s="41"/>
      <c r="E43" s="41"/>
      <c r="F43" s="41"/>
      <c r="G43" s="41"/>
      <c r="H43" s="48"/>
    </row>
    <row r="44" spans="1:37" x14ac:dyDescent="0.15">
      <c r="A44" s="43"/>
      <c r="B44" s="41"/>
      <c r="C44" s="41"/>
      <c r="D44" s="41"/>
      <c r="E44" s="41"/>
      <c r="F44" s="41"/>
      <c r="G44" s="41"/>
      <c r="H44" s="50"/>
    </row>
    <row r="48" spans="1:37" x14ac:dyDescent="0.15">
      <c r="B48" s="184"/>
    </row>
    <row r="55" spans="1:10" x14ac:dyDescent="0.15">
      <c r="A55" s="1361" t="s">
        <v>781</v>
      </c>
      <c r="B55" s="1361"/>
      <c r="C55" s="1361"/>
      <c r="D55" s="1361"/>
      <c r="E55" s="1361"/>
      <c r="F55" s="1361"/>
      <c r="G55" s="1361"/>
      <c r="H55" s="1361"/>
      <c r="I55" s="1361"/>
    </row>
    <row r="56" spans="1:10" x14ac:dyDescent="0.15">
      <c r="A56" s="1361" t="s">
        <v>782</v>
      </c>
      <c r="B56" s="1361"/>
      <c r="C56" s="1361"/>
      <c r="D56" s="1361"/>
      <c r="E56" s="1361"/>
      <c r="F56" s="1361"/>
      <c r="G56" s="1361"/>
      <c r="H56" s="1361"/>
      <c r="I56" s="1361"/>
    </row>
    <row r="57" spans="1:10" x14ac:dyDescent="0.15">
      <c r="A57" s="1361" t="s">
        <v>783</v>
      </c>
      <c r="B57" s="1361"/>
      <c r="C57" s="1361"/>
      <c r="D57" s="1361"/>
      <c r="E57" s="1361"/>
      <c r="F57" s="1361"/>
      <c r="G57" s="1361"/>
      <c r="H57" s="1361"/>
      <c r="I57" s="1361"/>
    </row>
    <row r="58" spans="1:10" ht="84.75" customHeight="1" x14ac:dyDescent="0.15">
      <c r="A58" s="1374" t="s">
        <v>2435</v>
      </c>
      <c r="B58" s="1374"/>
      <c r="C58" s="1374"/>
      <c r="D58" s="1374"/>
      <c r="E58" s="1374"/>
      <c r="F58" s="1374"/>
      <c r="G58" s="1374"/>
      <c r="H58" s="1374"/>
      <c r="I58" s="1374"/>
    </row>
    <row r="59" spans="1:10" x14ac:dyDescent="0.15">
      <c r="A59" s="1361" t="s">
        <v>784</v>
      </c>
      <c r="B59" s="1361"/>
      <c r="C59" s="1361"/>
      <c r="D59" s="1361"/>
      <c r="E59" s="1361"/>
      <c r="F59" s="1361"/>
      <c r="G59" s="1361"/>
      <c r="H59" s="1361"/>
      <c r="I59" s="1361"/>
      <c r="J59" s="82"/>
    </row>
    <row r="60" spans="1:10" ht="45" customHeight="1" x14ac:dyDescent="0.15">
      <c r="A60" s="1362" t="s">
        <v>785</v>
      </c>
      <c r="B60" s="1362"/>
      <c r="C60" s="1362"/>
      <c r="D60" s="1362"/>
      <c r="E60" s="1362"/>
      <c r="F60" s="1362"/>
      <c r="G60" s="1362"/>
      <c r="H60" s="1362"/>
      <c r="I60" s="1362"/>
    </row>
    <row r="61" spans="1:10" x14ac:dyDescent="0.15">
      <c r="A61" s="1361" t="s">
        <v>786</v>
      </c>
      <c r="B61" s="1361"/>
      <c r="C61" s="1361"/>
      <c r="D61" s="1361"/>
      <c r="E61" s="1361"/>
      <c r="F61" s="1361"/>
      <c r="G61" s="1361"/>
      <c r="H61" s="1361"/>
      <c r="I61" s="1361"/>
    </row>
  </sheetData>
  <mergeCells count="23">
    <mergeCell ref="L2:P2"/>
    <mergeCell ref="A58:I58"/>
    <mergeCell ref="A57:I57"/>
    <mergeCell ref="A56:I56"/>
    <mergeCell ref="A55:I55"/>
    <mergeCell ref="D4:F4"/>
    <mergeCell ref="K4:O4"/>
    <mergeCell ref="E5:E6"/>
    <mergeCell ref="F5:F6"/>
    <mergeCell ref="H5:H6"/>
    <mergeCell ref="I5:I6"/>
    <mergeCell ref="L5:L6"/>
    <mergeCell ref="M5:O5"/>
    <mergeCell ref="J5:J6"/>
    <mergeCell ref="A59:I59"/>
    <mergeCell ref="A60:I60"/>
    <mergeCell ref="A61:I61"/>
    <mergeCell ref="A35:I35"/>
    <mergeCell ref="A2:I2"/>
    <mergeCell ref="A4:A6"/>
    <mergeCell ref="B4:B6"/>
    <mergeCell ref="C4:C6"/>
    <mergeCell ref="G4:J4"/>
  </mergeCells>
  <phoneticPr fontId="3"/>
  <dataValidations count="3">
    <dataValidation type="list" allowBlank="1" showInputMessage="1" prompt="下記リストから該当する記号を選択" sqref="H7:H32">
      <formula1>"A,B,C,D,E,F,G,H,I,J,K,L,M"</formula1>
    </dataValidation>
    <dataValidation type="list" allowBlank="1" showInputMessage="1" prompt="下記リストから該当する年齢区分を選択" sqref="I7:I32">
      <formula1>"ア,イ,ウ,エ,オ,カ,キ,ク,ケ,コ,−,"</formula1>
    </dataValidation>
    <dataValidation type="list" allowBlank="1" showInputMessage="1" showErrorMessage="1" sqref="J29:J32">
      <formula1>$Q$7:$Q$8</formula1>
    </dataValidation>
  </dataValidations>
  <pageMargins left="0.31496062992125984" right="0.31496062992125984" top="0.74803149606299213" bottom="0.74803149606299213" header="0.31496062992125984" footer="0.31496062992125984"/>
  <pageSetup paperSize="9" scale="54" fitToHeight="0" orientation="portrait" cellComments="asDisplayed" r:id="rId1"/>
  <rowBreaks count="1" manualBreakCount="1">
    <brk id="35" max="13" man="1"/>
  </rowBreaks>
  <colBreaks count="2" manualBreakCount="2">
    <brk id="2" max="56" man="1"/>
    <brk id="14" max="61"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CC"/>
    <pageSetUpPr fitToPage="1"/>
  </sheetPr>
  <dimension ref="A1:AA280"/>
  <sheetViews>
    <sheetView showGridLines="0" tabSelected="1" view="pageBreakPreview" topLeftCell="A270" zoomScale="70" zoomScaleNormal="100" zoomScaleSheetLayoutView="70" workbookViewId="0">
      <selection activeCell="S8" sqref="S8"/>
    </sheetView>
  </sheetViews>
  <sheetFormatPr defaultColWidth="8.625" defaultRowHeight="18" customHeight="1" x14ac:dyDescent="0.15"/>
  <cols>
    <col min="1" max="2" width="3.5" style="1" customWidth="1"/>
    <col min="3" max="3" width="8" style="1" customWidth="1"/>
    <col min="4" max="4" width="4.75" style="1" customWidth="1"/>
    <col min="5" max="5" width="7.625" style="1" customWidth="1"/>
    <col min="6" max="6" width="7.125" style="1" customWidth="1"/>
    <col min="7" max="7" width="5.75" style="1" hidden="1" customWidth="1"/>
    <col min="8" max="8" width="4.625" style="1" customWidth="1"/>
    <col min="9" max="9" width="8.625" style="1" customWidth="1"/>
    <col min="10" max="10" width="8.375" style="1" customWidth="1"/>
    <col min="11" max="11" width="7.125" style="1" customWidth="1"/>
    <col min="12" max="12" width="6.125" style="1" hidden="1" customWidth="1"/>
    <col min="13" max="13" width="4.5" style="1" customWidth="1"/>
    <col min="14" max="15" width="7.625" style="1" customWidth="1"/>
    <col min="16" max="16" width="7.125" style="1" customWidth="1"/>
    <col min="17" max="17" width="7" style="1" hidden="1" customWidth="1"/>
    <col min="18" max="18" width="4.625" style="1" customWidth="1"/>
    <col min="19" max="20" width="7.625" style="1" customWidth="1"/>
    <col min="21" max="21" width="7.125" style="1" customWidth="1"/>
    <col min="22" max="22" width="5.625" style="1" hidden="1" customWidth="1"/>
    <col min="23" max="23" width="5.625" style="1" customWidth="1"/>
    <col min="24" max="24" width="7.625" style="1" customWidth="1"/>
    <col min="25" max="27" width="3.875" style="1" customWidth="1"/>
    <col min="28" max="41" width="4.625" style="1" customWidth="1"/>
    <col min="42" max="42" width="3.75" style="1" customWidth="1"/>
    <col min="43" max="84" width="4.625" style="1" customWidth="1"/>
    <col min="85" max="16384" width="8.625" style="1"/>
  </cols>
  <sheetData>
    <row r="1" spans="1:24" s="86" customFormat="1" ht="18" customHeight="1" x14ac:dyDescent="0.15">
      <c r="A1" s="1394" t="str">
        <f>"（"&amp;別紙１①!R20&amp;"）"</f>
        <v>（別紙1）</v>
      </c>
      <c r="B1" s="1394"/>
      <c r="C1" s="1394"/>
      <c r="D1" s="89"/>
      <c r="E1" s="89"/>
      <c r="F1" s="89"/>
      <c r="G1" s="89"/>
      <c r="H1" s="89"/>
      <c r="I1" s="89"/>
      <c r="J1" s="89"/>
      <c r="K1" s="89"/>
      <c r="L1" s="89"/>
      <c r="M1" s="89"/>
      <c r="N1" s="89"/>
      <c r="O1" s="89"/>
      <c r="P1" s="89"/>
      <c r="Q1" s="89"/>
      <c r="R1" s="89"/>
      <c r="S1" s="89"/>
      <c r="T1" s="89"/>
      <c r="U1" s="89"/>
      <c r="V1" s="89"/>
      <c r="W1" s="89"/>
      <c r="X1" s="89"/>
    </row>
    <row r="2" spans="1:24" s="86" customFormat="1" ht="18" customHeight="1" x14ac:dyDescent="0.15">
      <c r="A2" s="89"/>
      <c r="B2" s="89"/>
      <c r="C2" s="89"/>
      <c r="D2" s="89"/>
      <c r="E2" s="89"/>
      <c r="F2" s="89"/>
      <c r="G2" s="89"/>
      <c r="H2" s="89"/>
      <c r="I2" s="89"/>
      <c r="J2" s="89"/>
      <c r="K2" s="89"/>
      <c r="L2" s="89"/>
      <c r="M2" s="89"/>
      <c r="N2" s="89"/>
      <c r="O2" s="89"/>
      <c r="P2" s="89"/>
      <c r="Q2" s="89"/>
      <c r="R2" s="89"/>
      <c r="S2" s="89"/>
      <c r="T2" s="89"/>
      <c r="U2" s="89"/>
      <c r="V2" s="89"/>
      <c r="W2" s="89"/>
      <c r="X2" s="89"/>
    </row>
    <row r="3" spans="1:24" s="86" customFormat="1" ht="18" customHeight="1" x14ac:dyDescent="0.15">
      <c r="A3" s="1656" t="s">
        <v>92</v>
      </c>
      <c r="B3" s="1656"/>
      <c r="C3" s="1656"/>
      <c r="D3" s="1656"/>
      <c r="E3" s="1656"/>
      <c r="F3" s="1656"/>
      <c r="G3" s="1656"/>
      <c r="H3" s="1656"/>
      <c r="I3" s="1656"/>
      <c r="J3" s="1656"/>
      <c r="K3" s="1656"/>
      <c r="L3" s="1656"/>
      <c r="M3" s="1656"/>
      <c r="N3" s="1656"/>
      <c r="O3" s="1656"/>
      <c r="P3" s="1656"/>
      <c r="Q3" s="1656"/>
      <c r="R3" s="1656"/>
      <c r="S3" s="1656"/>
      <c r="T3" s="1656"/>
      <c r="U3" s="1656"/>
      <c r="V3" s="1656"/>
      <c r="W3" s="1656"/>
      <c r="X3" s="1656"/>
    </row>
    <row r="4" spans="1:24" s="87" customFormat="1" ht="18" customHeight="1" x14ac:dyDescent="0.2">
      <c r="A4" s="1179" t="s">
        <v>93</v>
      </c>
      <c r="B4" s="1179"/>
      <c r="C4" s="1179"/>
      <c r="D4" s="1179"/>
      <c r="E4" s="1179"/>
      <c r="F4" s="1179"/>
      <c r="G4" s="1179"/>
      <c r="H4" s="1179"/>
      <c r="I4" s="1179"/>
      <c r="J4" s="1179"/>
      <c r="K4" s="1179"/>
      <c r="L4" s="1179"/>
      <c r="M4" s="1179"/>
      <c r="N4" s="1179"/>
      <c r="O4" s="1179"/>
      <c r="P4" s="1179"/>
      <c r="Q4" s="1179"/>
      <c r="R4" s="1179"/>
      <c r="S4" s="1179"/>
      <c r="T4" s="1179"/>
      <c r="U4" s="1179"/>
      <c r="V4" s="1179"/>
      <c r="W4" s="1179"/>
      <c r="X4" s="1179"/>
    </row>
    <row r="5" spans="1:24" s="87" customFormat="1" ht="18" customHeight="1" x14ac:dyDescent="0.2">
      <c r="A5" s="52"/>
      <c r="B5" s="52"/>
      <c r="C5" s="52"/>
      <c r="D5" s="52"/>
      <c r="E5" s="52"/>
      <c r="F5" s="52"/>
      <c r="G5" s="52"/>
      <c r="H5" s="52"/>
      <c r="I5" s="52"/>
      <c r="J5" s="52"/>
      <c r="K5" s="52"/>
      <c r="L5" s="52"/>
      <c r="M5" s="52"/>
      <c r="N5" s="52"/>
      <c r="O5" s="52"/>
      <c r="P5" s="52"/>
      <c r="Q5" s="52"/>
      <c r="R5" s="52"/>
      <c r="S5" s="52"/>
      <c r="T5" s="52"/>
      <c r="U5" s="52"/>
      <c r="V5" s="52"/>
      <c r="W5" s="52"/>
      <c r="X5" s="52"/>
    </row>
    <row r="6" spans="1:24" s="87" customFormat="1" ht="18" customHeight="1" x14ac:dyDescent="0.2">
      <c r="A6" s="52" t="s">
        <v>94</v>
      </c>
      <c r="B6" s="52"/>
      <c r="C6" s="52"/>
      <c r="D6" s="52"/>
      <c r="E6" s="52"/>
      <c r="F6" s="52"/>
      <c r="G6" s="52"/>
      <c r="H6" s="52"/>
      <c r="I6" s="52"/>
      <c r="J6" s="52"/>
      <c r="K6" s="52"/>
      <c r="L6" s="52"/>
      <c r="M6" s="52"/>
      <c r="N6" s="52"/>
      <c r="O6" s="52"/>
      <c r="P6" s="52"/>
      <c r="Q6" s="52"/>
      <c r="R6" s="52"/>
      <c r="S6" s="52"/>
      <c r="T6" s="52"/>
      <c r="U6" s="52"/>
      <c r="V6" s="52"/>
      <c r="W6" s="52"/>
      <c r="X6" s="52"/>
    </row>
    <row r="7" spans="1:24" s="87" customFormat="1" ht="18" customHeight="1" x14ac:dyDescent="0.2">
      <c r="A7" s="52"/>
      <c r="B7" s="52"/>
      <c r="C7" s="52"/>
      <c r="D7" s="52"/>
      <c r="E7" s="52"/>
      <c r="F7" s="52"/>
      <c r="G7" s="52"/>
      <c r="H7" s="52"/>
      <c r="I7" s="52"/>
      <c r="J7" s="52"/>
      <c r="K7" s="52"/>
      <c r="L7" s="52"/>
      <c r="M7" s="52"/>
      <c r="N7" s="52"/>
      <c r="O7" s="52"/>
      <c r="P7" s="52"/>
      <c r="Q7" s="52"/>
      <c r="R7" s="52"/>
      <c r="S7" s="52"/>
      <c r="T7" s="52"/>
      <c r="U7" s="52"/>
      <c r="V7" s="52"/>
      <c r="W7" s="52"/>
      <c r="X7" s="52"/>
    </row>
    <row r="8" spans="1:24" s="87" customFormat="1" ht="18" customHeight="1" x14ac:dyDescent="0.2">
      <c r="A8" s="52" t="s">
        <v>292</v>
      </c>
      <c r="B8" s="52"/>
      <c r="C8" s="52"/>
      <c r="D8" s="52"/>
      <c r="E8" s="52"/>
      <c r="F8" s="52"/>
      <c r="G8" s="52"/>
      <c r="H8" s="52"/>
      <c r="I8" s="52"/>
      <c r="J8" s="52"/>
      <c r="K8" s="52"/>
      <c r="L8" s="52"/>
      <c r="M8" s="52"/>
      <c r="N8" s="52"/>
      <c r="O8" s="52"/>
      <c r="P8" s="52"/>
      <c r="Q8" s="52"/>
      <c r="R8" s="52"/>
      <c r="S8" s="52"/>
      <c r="T8" s="52"/>
      <c r="U8" s="52"/>
      <c r="V8" s="52"/>
      <c r="W8" s="52"/>
      <c r="X8" s="52"/>
    </row>
    <row r="9" spans="1:24" s="87" customFormat="1" ht="6" customHeight="1" x14ac:dyDescent="0.2">
      <c r="A9" s="90"/>
      <c r="B9" s="52"/>
      <c r="C9" s="52"/>
      <c r="D9" s="52"/>
      <c r="E9" s="52"/>
      <c r="F9" s="52"/>
      <c r="G9" s="52"/>
      <c r="H9" s="52"/>
      <c r="I9" s="52"/>
      <c r="J9" s="52"/>
      <c r="K9" s="52"/>
      <c r="L9" s="52"/>
      <c r="M9" s="52"/>
      <c r="N9" s="52"/>
      <c r="O9" s="52"/>
      <c r="P9" s="52"/>
      <c r="Q9" s="52"/>
      <c r="R9" s="52"/>
      <c r="S9" s="52"/>
      <c r="T9" s="52"/>
      <c r="U9" s="52"/>
      <c r="V9" s="52"/>
      <c r="W9" s="52"/>
      <c r="X9" s="52"/>
    </row>
    <row r="10" spans="1:24" s="87" customFormat="1" ht="25.9" customHeight="1" x14ac:dyDescent="0.2">
      <c r="A10" s="1670" t="s">
        <v>293</v>
      </c>
      <c r="B10" s="1670"/>
      <c r="C10" s="1670"/>
      <c r="D10" s="1670"/>
      <c r="E10" s="1670"/>
      <c r="F10" s="1670"/>
      <c r="G10" s="1670"/>
      <c r="H10" s="1670"/>
      <c r="I10" s="1670"/>
      <c r="J10" s="1670"/>
      <c r="K10" s="1671" t="s">
        <v>294</v>
      </c>
      <c r="L10" s="1671"/>
      <c r="M10" s="1671"/>
      <c r="N10" s="1671"/>
      <c r="O10" s="1671"/>
      <c r="P10" s="1671"/>
      <c r="Q10" s="1671"/>
      <c r="R10" s="1671"/>
      <c r="S10" s="1671"/>
      <c r="T10" s="1671"/>
      <c r="U10" s="52"/>
      <c r="V10" s="52"/>
      <c r="W10" s="52"/>
      <c r="X10" s="52"/>
    </row>
    <row r="11" spans="1:24" s="87" customFormat="1" ht="37.15" customHeight="1" x14ac:dyDescent="0.2">
      <c r="A11" s="1672" t="s">
        <v>295</v>
      </c>
      <c r="B11" s="1672"/>
      <c r="C11" s="1672"/>
      <c r="D11" s="1672"/>
      <c r="E11" s="1672"/>
      <c r="F11" s="1672"/>
      <c r="G11" s="1672"/>
      <c r="H11" s="1672"/>
      <c r="I11" s="1672"/>
      <c r="J11" s="1672"/>
      <c r="K11" s="1630" t="s">
        <v>1001</v>
      </c>
      <c r="L11" s="1631"/>
      <c r="M11" s="1631"/>
      <c r="N11" s="1631"/>
      <c r="O11" s="1631"/>
      <c r="P11" s="1631"/>
      <c r="Q11" s="1631"/>
      <c r="R11" s="1631"/>
      <c r="S11" s="1631"/>
      <c r="T11" s="1631"/>
      <c r="U11" s="52"/>
      <c r="V11" s="52"/>
      <c r="W11" s="52"/>
      <c r="X11" s="52"/>
    </row>
    <row r="12" spans="1:24" s="87" customFormat="1" ht="37.15" customHeight="1" x14ac:dyDescent="0.2">
      <c r="A12" s="1672" t="s">
        <v>296</v>
      </c>
      <c r="B12" s="1672"/>
      <c r="C12" s="1672"/>
      <c r="D12" s="1672"/>
      <c r="E12" s="1672"/>
      <c r="F12" s="1672"/>
      <c r="G12" s="1672"/>
      <c r="H12" s="1672"/>
      <c r="I12" s="1672"/>
      <c r="J12" s="1672"/>
      <c r="K12" s="1630" t="s">
        <v>1001</v>
      </c>
      <c r="L12" s="1631"/>
      <c r="M12" s="1631"/>
      <c r="N12" s="1631"/>
      <c r="O12" s="1631"/>
      <c r="P12" s="1631"/>
      <c r="Q12" s="1631"/>
      <c r="R12" s="1631"/>
      <c r="S12" s="1631"/>
      <c r="T12" s="1631"/>
      <c r="U12" s="52"/>
      <c r="V12" s="52"/>
      <c r="W12" s="52"/>
      <c r="X12" s="52"/>
    </row>
    <row r="13" spans="1:24" s="87" customFormat="1" ht="37.15" customHeight="1" x14ac:dyDescent="0.2">
      <c r="A13" s="1672" t="s">
        <v>297</v>
      </c>
      <c r="B13" s="1672"/>
      <c r="C13" s="1672"/>
      <c r="D13" s="1672"/>
      <c r="E13" s="1672"/>
      <c r="F13" s="1672"/>
      <c r="G13" s="1672"/>
      <c r="H13" s="1672"/>
      <c r="I13" s="1672"/>
      <c r="J13" s="1672"/>
      <c r="K13" s="1630" t="s">
        <v>1004</v>
      </c>
      <c r="L13" s="1631"/>
      <c r="M13" s="1631"/>
      <c r="N13" s="1631"/>
      <c r="O13" s="1631"/>
      <c r="P13" s="1631"/>
      <c r="Q13" s="1631"/>
      <c r="R13" s="1631"/>
      <c r="S13" s="1631"/>
      <c r="T13" s="1631"/>
      <c r="U13" s="52"/>
      <c r="V13" s="52"/>
      <c r="W13" s="52"/>
      <c r="X13" s="52"/>
    </row>
    <row r="14" spans="1:24" s="87" customFormat="1" ht="37.15" customHeight="1" x14ac:dyDescent="0.2">
      <c r="A14" s="1672" t="s">
        <v>298</v>
      </c>
      <c r="B14" s="1672"/>
      <c r="C14" s="1672"/>
      <c r="D14" s="1672"/>
      <c r="E14" s="1672"/>
      <c r="F14" s="1672"/>
      <c r="G14" s="1672"/>
      <c r="H14" s="1672"/>
      <c r="I14" s="1672"/>
      <c r="J14" s="1672"/>
      <c r="K14" s="1630" t="s">
        <v>1004</v>
      </c>
      <c r="L14" s="1631"/>
      <c r="M14" s="1631"/>
      <c r="N14" s="1631"/>
      <c r="O14" s="1631"/>
      <c r="P14" s="1631"/>
      <c r="Q14" s="1631"/>
      <c r="R14" s="1631"/>
      <c r="S14" s="1631"/>
      <c r="T14" s="1631"/>
      <c r="U14" s="52"/>
      <c r="V14" s="52"/>
      <c r="W14" s="52"/>
      <c r="X14" s="52"/>
    </row>
    <row r="15" spans="1:24" s="87" customFormat="1" ht="37.15" customHeight="1" x14ac:dyDescent="0.2">
      <c r="A15" s="1672" t="s">
        <v>299</v>
      </c>
      <c r="B15" s="1672"/>
      <c r="C15" s="1672"/>
      <c r="D15" s="1672"/>
      <c r="E15" s="1672"/>
      <c r="F15" s="1672"/>
      <c r="G15" s="1672"/>
      <c r="H15" s="1672"/>
      <c r="I15" s="1672"/>
      <c r="J15" s="1672"/>
      <c r="K15" s="1630" t="s">
        <v>999</v>
      </c>
      <c r="L15" s="1631"/>
      <c r="M15" s="1631"/>
      <c r="N15" s="1631"/>
      <c r="O15" s="1631"/>
      <c r="P15" s="1631"/>
      <c r="Q15" s="1631"/>
      <c r="R15" s="1631"/>
      <c r="S15" s="1631"/>
      <c r="T15" s="1631"/>
      <c r="U15" s="52"/>
      <c r="V15" s="52"/>
      <c r="W15" s="52"/>
      <c r="X15" s="52"/>
    </row>
    <row r="16" spans="1:24" s="87" customFormat="1" ht="37.15" customHeight="1" x14ac:dyDescent="0.2">
      <c r="A16" s="1672" t="s">
        <v>300</v>
      </c>
      <c r="B16" s="1672"/>
      <c r="C16" s="1672"/>
      <c r="D16" s="1672"/>
      <c r="E16" s="1672"/>
      <c r="F16" s="1672"/>
      <c r="G16" s="1672"/>
      <c r="H16" s="1672"/>
      <c r="I16" s="1672"/>
      <c r="J16" s="1672"/>
      <c r="K16" s="1630" t="s">
        <v>1001</v>
      </c>
      <c r="L16" s="1631"/>
      <c r="M16" s="1631"/>
      <c r="N16" s="1631"/>
      <c r="O16" s="1631"/>
      <c r="P16" s="1631"/>
      <c r="Q16" s="1631"/>
      <c r="R16" s="1631"/>
      <c r="S16" s="1631"/>
      <c r="T16" s="1631"/>
      <c r="U16" s="52"/>
      <c r="V16" s="52"/>
      <c r="W16" s="52"/>
      <c r="X16" s="52"/>
    </row>
    <row r="17" spans="1:27" s="87" customFormat="1" ht="36.6" customHeight="1" x14ac:dyDescent="0.2">
      <c r="A17" s="1675" t="s">
        <v>301</v>
      </c>
      <c r="B17" s="1675"/>
      <c r="C17" s="1675"/>
      <c r="D17" s="1675"/>
      <c r="E17" s="1675"/>
      <c r="F17" s="1675"/>
      <c r="G17" s="1675"/>
      <c r="H17" s="1675"/>
      <c r="I17" s="1675"/>
      <c r="J17" s="1675"/>
      <c r="K17" s="1675"/>
      <c r="L17" s="1675"/>
      <c r="M17" s="1675"/>
      <c r="N17" s="1675"/>
      <c r="O17" s="1675"/>
      <c r="P17" s="1675"/>
      <c r="Q17" s="1675"/>
      <c r="R17" s="1675"/>
      <c r="S17" s="1675"/>
      <c r="T17" s="1675"/>
      <c r="U17" s="52"/>
      <c r="V17" s="52"/>
      <c r="W17" s="52"/>
      <c r="X17" s="52"/>
    </row>
    <row r="18" spans="1:27" s="87" customFormat="1" ht="18" customHeight="1" x14ac:dyDescent="0.2">
      <c r="A18" s="52"/>
      <c r="B18" s="52"/>
      <c r="C18" s="52"/>
      <c r="D18" s="52"/>
      <c r="E18" s="52"/>
      <c r="F18" s="52"/>
      <c r="G18" s="52"/>
      <c r="H18" s="52"/>
      <c r="I18" s="52"/>
      <c r="J18" s="52"/>
      <c r="K18" s="52"/>
      <c r="L18" s="52"/>
      <c r="M18" s="52"/>
      <c r="N18" s="52"/>
      <c r="O18" s="52"/>
      <c r="P18" s="52"/>
      <c r="Q18" s="52"/>
      <c r="R18" s="52"/>
      <c r="S18" s="52"/>
      <c r="T18" s="52"/>
      <c r="U18" s="52"/>
      <c r="V18" s="52"/>
      <c r="W18" s="52"/>
      <c r="X18" s="52"/>
    </row>
    <row r="19" spans="1:27" s="87" customFormat="1" ht="30.6" customHeight="1" x14ac:dyDescent="0.2">
      <c r="A19" s="1669" t="s">
        <v>302</v>
      </c>
      <c r="B19" s="1669"/>
      <c r="C19" s="1669"/>
      <c r="D19" s="1669"/>
      <c r="E19" s="1669"/>
      <c r="F19" s="1669"/>
      <c r="G19" s="1669"/>
      <c r="H19" s="1669"/>
      <c r="I19" s="1669"/>
      <c r="J19" s="1669"/>
      <c r="K19" s="1669"/>
      <c r="L19" s="1669"/>
      <c r="M19" s="1669"/>
      <c r="N19" s="1669"/>
      <c r="O19" s="1669"/>
      <c r="P19" s="1669"/>
      <c r="Q19" s="1669"/>
      <c r="R19" s="1669"/>
      <c r="S19" s="1669"/>
      <c r="T19" s="1669"/>
      <c r="U19" s="1669"/>
      <c r="V19" s="1669"/>
      <c r="W19" s="1669"/>
      <c r="X19" s="1669"/>
    </row>
    <row r="20" spans="1:27" s="87" customFormat="1" ht="7.15" customHeight="1" x14ac:dyDescent="0.2">
      <c r="A20" s="91"/>
      <c r="B20" s="91"/>
      <c r="C20" s="91"/>
      <c r="D20" s="91"/>
      <c r="E20" s="91"/>
      <c r="F20" s="91"/>
      <c r="G20" s="91"/>
      <c r="H20" s="91"/>
      <c r="I20" s="91"/>
      <c r="J20" s="91"/>
      <c r="K20" s="91"/>
      <c r="L20" s="91"/>
      <c r="M20" s="91"/>
      <c r="N20" s="91"/>
      <c r="O20" s="91"/>
      <c r="P20" s="91"/>
      <c r="Q20" s="91"/>
      <c r="R20" s="91"/>
      <c r="S20" s="91"/>
      <c r="T20" s="91"/>
      <c r="U20" s="91"/>
      <c r="V20" s="91"/>
      <c r="W20" s="91"/>
      <c r="X20" s="91"/>
    </row>
    <row r="21" spans="1:27" s="87" customFormat="1" ht="30.6" customHeight="1" x14ac:dyDescent="0.2">
      <c r="A21" s="1701" t="s">
        <v>185</v>
      </c>
      <c r="B21" s="1702"/>
      <c r="C21" s="1702"/>
      <c r="D21" s="1702"/>
      <c r="E21" s="1702"/>
      <c r="F21" s="1703" t="s">
        <v>186</v>
      </c>
      <c r="G21" s="1703"/>
      <c r="H21" s="1704"/>
      <c r="I21" s="1704"/>
      <c r="J21" s="1704"/>
      <c r="K21" s="1657" t="s">
        <v>187</v>
      </c>
      <c r="L21" s="1707"/>
      <c r="M21" s="1658"/>
      <c r="N21" s="1708"/>
      <c r="O21" s="1657" t="s">
        <v>188</v>
      </c>
      <c r="P21" s="1658"/>
      <c r="Q21" s="1658"/>
      <c r="R21" s="1658"/>
      <c r="S21" s="1658"/>
      <c r="T21" s="1658"/>
      <c r="U21" s="1658"/>
      <c r="V21" s="1658"/>
      <c r="W21" s="1659"/>
      <c r="X21" s="1660"/>
    </row>
    <row r="22" spans="1:27" s="87" customFormat="1" ht="30.6" customHeight="1" x14ac:dyDescent="0.2">
      <c r="A22" s="1632" t="s">
        <v>86</v>
      </c>
      <c r="B22" s="1633"/>
      <c r="C22" s="1633"/>
      <c r="D22" s="1633"/>
      <c r="E22" s="1633"/>
      <c r="F22" s="1632" t="s">
        <v>276</v>
      </c>
      <c r="G22" s="1632"/>
      <c r="H22" s="1633"/>
      <c r="I22" s="1633"/>
      <c r="J22" s="1633"/>
      <c r="K22" s="1665" t="s">
        <v>190</v>
      </c>
      <c r="L22" s="1666"/>
      <c r="M22" s="1667"/>
      <c r="N22" s="1668"/>
      <c r="O22" s="1661" t="s">
        <v>210</v>
      </c>
      <c r="P22" s="1662"/>
      <c r="Q22" s="1662"/>
      <c r="R22" s="1662"/>
      <c r="S22" s="1662"/>
      <c r="T22" s="1662"/>
      <c r="U22" s="1662"/>
      <c r="V22" s="1662"/>
      <c r="W22" s="1663"/>
      <c r="X22" s="1664"/>
    </row>
    <row r="23" spans="1:27" s="87" customFormat="1" ht="30.6" customHeight="1" x14ac:dyDescent="0.2">
      <c r="A23" s="1632" t="s">
        <v>86</v>
      </c>
      <c r="B23" s="1633"/>
      <c r="C23" s="1633"/>
      <c r="D23" s="1633"/>
      <c r="E23" s="1633"/>
      <c r="F23" s="1632" t="s">
        <v>189</v>
      </c>
      <c r="G23" s="1632"/>
      <c r="H23" s="1633"/>
      <c r="I23" s="1633"/>
      <c r="J23" s="1633"/>
      <c r="K23" s="1665" t="s">
        <v>191</v>
      </c>
      <c r="L23" s="1666"/>
      <c r="M23" s="1667"/>
      <c r="N23" s="1668"/>
      <c r="O23" s="1661" t="s">
        <v>279</v>
      </c>
      <c r="P23" s="1662"/>
      <c r="Q23" s="1662"/>
      <c r="R23" s="1662"/>
      <c r="S23" s="1662"/>
      <c r="T23" s="1662"/>
      <c r="U23" s="1662"/>
      <c r="V23" s="1662"/>
      <c r="W23" s="1663"/>
      <c r="X23" s="1664"/>
    </row>
    <row r="24" spans="1:27" s="87" customFormat="1" ht="30.6" customHeight="1" x14ac:dyDescent="0.2">
      <c r="A24" s="1632" t="s">
        <v>86</v>
      </c>
      <c r="B24" s="1633"/>
      <c r="C24" s="1633"/>
      <c r="D24" s="1633"/>
      <c r="E24" s="1633"/>
      <c r="F24" s="1632" t="s">
        <v>91</v>
      </c>
      <c r="G24" s="1632"/>
      <c r="H24" s="1633"/>
      <c r="I24" s="1633"/>
      <c r="J24" s="1633"/>
      <c r="K24" s="1665" t="s">
        <v>191</v>
      </c>
      <c r="L24" s="1666"/>
      <c r="M24" s="1667"/>
      <c r="N24" s="1668"/>
      <c r="O24" s="1661" t="s">
        <v>279</v>
      </c>
      <c r="P24" s="1662"/>
      <c r="Q24" s="1662"/>
      <c r="R24" s="1662"/>
      <c r="S24" s="1662"/>
      <c r="T24" s="1662"/>
      <c r="U24" s="1662"/>
      <c r="V24" s="1662"/>
      <c r="W24" s="1663"/>
      <c r="X24" s="1664"/>
    </row>
    <row r="25" spans="1:27" s="87" customFormat="1" ht="30.6" customHeight="1" x14ac:dyDescent="0.2">
      <c r="A25" s="1632" t="s">
        <v>86</v>
      </c>
      <c r="B25" s="1633"/>
      <c r="C25" s="1633"/>
      <c r="D25" s="1633"/>
      <c r="E25" s="1633"/>
      <c r="F25" s="1632" t="s">
        <v>189</v>
      </c>
      <c r="G25" s="1632"/>
      <c r="H25" s="1633"/>
      <c r="I25" s="1633"/>
      <c r="J25" s="1633"/>
      <c r="K25" s="1665" t="s">
        <v>191</v>
      </c>
      <c r="L25" s="1666"/>
      <c r="M25" s="1667"/>
      <c r="N25" s="1668"/>
      <c r="O25" s="1661" t="s">
        <v>279</v>
      </c>
      <c r="P25" s="1662"/>
      <c r="Q25" s="1662"/>
      <c r="R25" s="1662"/>
      <c r="S25" s="1662"/>
      <c r="T25" s="1662"/>
      <c r="U25" s="1662"/>
      <c r="V25" s="1662"/>
      <c r="W25" s="1663"/>
      <c r="X25" s="1664"/>
    </row>
    <row r="26" spans="1:27" s="87" customFormat="1" ht="30.6" customHeight="1" x14ac:dyDescent="0.2">
      <c r="A26" s="1632"/>
      <c r="B26" s="1633"/>
      <c r="C26" s="1633"/>
      <c r="D26" s="1633"/>
      <c r="E26" s="1633"/>
      <c r="F26" s="1632"/>
      <c r="G26" s="1632"/>
      <c r="H26" s="1633"/>
      <c r="I26" s="1633"/>
      <c r="J26" s="1633"/>
      <c r="K26" s="1665"/>
      <c r="L26" s="1666"/>
      <c r="M26" s="1667"/>
      <c r="N26" s="1668"/>
      <c r="O26" s="1661"/>
      <c r="P26" s="1662"/>
      <c r="Q26" s="1662"/>
      <c r="R26" s="1662"/>
      <c r="S26" s="1662"/>
      <c r="T26" s="1662"/>
      <c r="U26" s="1662"/>
      <c r="V26" s="1662"/>
      <c r="W26" s="1663"/>
      <c r="X26" s="1664"/>
    </row>
    <row r="27" spans="1:27" s="87" customFormat="1" ht="19.149999999999999" customHeight="1" x14ac:dyDescent="0.2">
      <c r="A27" s="1392"/>
      <c r="B27" s="1393"/>
      <c r="C27" s="1393"/>
      <c r="D27" s="1393"/>
      <c r="E27" s="1393"/>
      <c r="F27" s="1390" t="s">
        <v>280</v>
      </c>
      <c r="G27" s="1390"/>
      <c r="H27" s="1390"/>
      <c r="I27" s="1390"/>
      <c r="J27" s="1390"/>
      <c r="K27" s="1390"/>
      <c r="L27" s="1390"/>
      <c r="M27" s="1390"/>
      <c r="N27" s="1390"/>
      <c r="O27" s="1390"/>
      <c r="P27" s="1390"/>
      <c r="Q27" s="1390"/>
      <c r="R27" s="1390"/>
      <c r="S27" s="1390"/>
      <c r="T27" s="1390"/>
      <c r="U27" s="1390"/>
      <c r="V27" s="1390"/>
      <c r="W27" s="1390"/>
      <c r="X27" s="1391"/>
    </row>
    <row r="28" spans="1:27" s="88" customFormat="1" ht="30.6" customHeight="1" x14ac:dyDescent="0.2">
      <c r="A28" s="92"/>
      <c r="B28" s="93"/>
      <c r="C28" s="93"/>
      <c r="D28" s="93"/>
      <c r="E28" s="93"/>
      <c r="F28" s="92"/>
      <c r="G28" s="92"/>
      <c r="H28" s="93"/>
      <c r="I28" s="93"/>
      <c r="J28" s="93"/>
      <c r="K28" s="92"/>
      <c r="L28" s="92"/>
      <c r="M28" s="93"/>
      <c r="N28" s="93"/>
      <c r="O28" s="94"/>
      <c r="P28" s="94"/>
      <c r="Q28" s="94"/>
      <c r="R28" s="94"/>
      <c r="S28" s="94"/>
      <c r="T28" s="94"/>
      <c r="U28" s="94"/>
      <c r="V28" s="94"/>
      <c r="W28" s="95"/>
      <c r="X28" s="95"/>
    </row>
    <row r="29" spans="1:27" s="87" customFormat="1" ht="30.6" customHeight="1" x14ac:dyDescent="0.2">
      <c r="A29" s="91"/>
      <c r="B29" s="96"/>
      <c r="C29" s="96"/>
      <c r="D29" s="96"/>
      <c r="E29" s="96"/>
      <c r="F29" s="91"/>
      <c r="G29" s="91"/>
      <c r="H29" s="96"/>
      <c r="I29" s="96"/>
      <c r="J29" s="96"/>
      <c r="K29" s="91"/>
      <c r="L29" s="91"/>
      <c r="M29" s="96"/>
      <c r="N29" s="96"/>
      <c r="O29" s="96"/>
      <c r="P29" s="96"/>
      <c r="Q29" s="96"/>
      <c r="R29" s="91"/>
      <c r="S29" s="96"/>
      <c r="T29" s="96"/>
      <c r="U29" s="96"/>
      <c r="V29" s="96"/>
      <c r="W29" s="96"/>
      <c r="X29" s="96"/>
    </row>
    <row r="30" spans="1:27" s="87" customFormat="1" ht="21.6" customHeight="1" x14ac:dyDescent="0.2">
      <c r="A30" s="91"/>
      <c r="B30" s="96"/>
      <c r="C30" s="96"/>
      <c r="D30" s="96"/>
      <c r="E30" s="96"/>
      <c r="F30" s="91"/>
      <c r="G30" s="91"/>
      <c r="H30" s="96"/>
      <c r="I30" s="96"/>
      <c r="J30" s="96"/>
      <c r="K30" s="91"/>
      <c r="L30" s="91"/>
      <c r="M30" s="96"/>
      <c r="N30" s="96"/>
      <c r="O30" s="96"/>
      <c r="P30" s="96"/>
      <c r="Q30" s="96"/>
      <c r="R30" s="91"/>
      <c r="S30" s="96"/>
      <c r="T30" s="96"/>
      <c r="U30" s="96"/>
      <c r="V30" s="96"/>
      <c r="W30" s="96"/>
      <c r="X30" s="96"/>
      <c r="AA30" s="85"/>
    </row>
    <row r="31" spans="1:27" s="87" customFormat="1" ht="30.6" customHeight="1" x14ac:dyDescent="0.2">
      <c r="A31" s="90" t="s">
        <v>194</v>
      </c>
      <c r="B31" s="52"/>
      <c r="C31" s="52"/>
      <c r="D31" s="52"/>
      <c r="E31" s="52"/>
      <c r="F31" s="52"/>
      <c r="G31" s="52"/>
      <c r="H31" s="52"/>
      <c r="I31" s="52"/>
      <c r="J31" s="52"/>
      <c r="K31" s="52"/>
      <c r="L31" s="52"/>
      <c r="M31" s="52"/>
      <c r="N31" s="52"/>
      <c r="O31" s="52"/>
      <c r="P31" s="52"/>
      <c r="Q31" s="52"/>
      <c r="R31" s="52"/>
      <c r="S31" s="52"/>
      <c r="T31" s="52"/>
      <c r="U31" s="91"/>
      <c r="V31" s="91"/>
      <c r="W31" s="91"/>
      <c r="X31" s="91"/>
    </row>
    <row r="32" spans="1:27" s="87" customFormat="1" ht="30.6" customHeight="1" x14ac:dyDescent="0.2">
      <c r="A32" s="1690" t="s">
        <v>277</v>
      </c>
      <c r="B32" s="1691"/>
      <c r="C32" s="1691"/>
      <c r="D32" s="1691"/>
      <c r="E32" s="1691"/>
      <c r="F32" s="1691"/>
      <c r="G32" s="97"/>
      <c r="H32" s="1692" t="s">
        <v>195</v>
      </c>
      <c r="I32" s="1692"/>
      <c r="J32" s="1692"/>
      <c r="K32" s="1692"/>
      <c r="L32" s="1692"/>
      <c r="M32" s="1692"/>
      <c r="N32" s="1693" t="s">
        <v>278</v>
      </c>
      <c r="O32" s="1691"/>
      <c r="P32" s="1691"/>
      <c r="Q32" s="1691"/>
      <c r="R32" s="1691"/>
      <c r="S32" s="1691"/>
      <c r="T32" s="1694"/>
      <c r="U32" s="91"/>
      <c r="V32" s="91"/>
      <c r="W32" s="91"/>
      <c r="X32" s="91"/>
    </row>
    <row r="33" spans="1:24" s="87" customFormat="1" ht="30.6" customHeight="1" x14ac:dyDescent="0.2">
      <c r="A33" s="1695">
        <f>COUNTA(A22:E27)</f>
        <v>4</v>
      </c>
      <c r="B33" s="1696"/>
      <c r="C33" s="1696"/>
      <c r="D33" s="1696"/>
      <c r="E33" s="1696"/>
      <c r="F33" s="1696"/>
      <c r="G33" s="294"/>
      <c r="H33" s="1697">
        <f>COUNTA(別紙１③!B7:B33)</f>
        <v>22</v>
      </c>
      <c r="I33" s="1697"/>
      <c r="J33" s="1697"/>
      <c r="K33" s="1697"/>
      <c r="L33" s="1697"/>
      <c r="M33" s="1697"/>
      <c r="N33" s="1698">
        <f>A33/H33</f>
        <v>0.18181818181818182</v>
      </c>
      <c r="O33" s="1699"/>
      <c r="P33" s="1699"/>
      <c r="Q33" s="1699"/>
      <c r="R33" s="1699"/>
      <c r="S33" s="1699"/>
      <c r="T33" s="1700"/>
      <c r="U33" s="91"/>
      <c r="V33" s="91"/>
      <c r="W33" s="91"/>
      <c r="X33" s="91"/>
    </row>
    <row r="34" spans="1:24" s="88" customFormat="1" ht="25.15" customHeight="1" x14ac:dyDescent="0.2">
      <c r="A34" s="1705" t="s">
        <v>289</v>
      </c>
      <c r="B34" s="1706"/>
      <c r="C34" s="1706"/>
      <c r="D34" s="1706"/>
      <c r="E34" s="1706"/>
      <c r="F34" s="1706"/>
      <c r="G34" s="1706"/>
      <c r="H34" s="1706"/>
      <c r="I34" s="1706"/>
      <c r="J34" s="1706"/>
      <c r="K34" s="1706"/>
      <c r="L34" s="1706"/>
      <c r="M34" s="1706"/>
      <c r="N34" s="1706"/>
      <c r="O34" s="1706"/>
      <c r="P34" s="1706"/>
      <c r="Q34" s="1706"/>
      <c r="R34" s="1706"/>
      <c r="S34" s="1706"/>
      <c r="T34" s="1706"/>
      <c r="U34" s="1706"/>
      <c r="V34" s="1706"/>
      <c r="W34" s="1706"/>
      <c r="X34" s="1706"/>
    </row>
    <row r="35" spans="1:24" s="87" customFormat="1" ht="18" customHeight="1" x14ac:dyDescent="0.2">
      <c r="A35" s="90"/>
      <c r="B35" s="52"/>
      <c r="C35" s="52"/>
      <c r="D35" s="52"/>
      <c r="E35" s="52"/>
      <c r="F35" s="52"/>
      <c r="G35" s="52"/>
      <c r="H35" s="52"/>
      <c r="I35" s="52"/>
      <c r="J35" s="52"/>
      <c r="K35" s="52"/>
      <c r="L35" s="52"/>
      <c r="M35" s="52"/>
      <c r="N35" s="52"/>
      <c r="O35" s="52"/>
      <c r="P35" s="52"/>
      <c r="Q35" s="52"/>
      <c r="R35" s="52"/>
      <c r="S35" s="52"/>
      <c r="T35" s="52"/>
      <c r="U35" s="52"/>
      <c r="V35" s="52"/>
      <c r="W35" s="52"/>
      <c r="X35" s="52"/>
    </row>
    <row r="36" spans="1:24" s="87" customFormat="1" ht="18" customHeight="1" x14ac:dyDescent="0.2">
      <c r="A36" s="90" t="s">
        <v>303</v>
      </c>
      <c r="B36" s="52"/>
      <c r="C36" s="52"/>
      <c r="D36" s="52"/>
      <c r="E36" s="52"/>
      <c r="F36" s="52"/>
      <c r="G36" s="52"/>
      <c r="H36" s="52"/>
      <c r="I36" s="52"/>
      <c r="J36" s="52"/>
      <c r="K36" s="52"/>
      <c r="L36" s="52"/>
      <c r="M36" s="52"/>
      <c r="N36" s="52"/>
      <c r="O36" s="52"/>
      <c r="P36" s="52"/>
      <c r="Q36" s="52"/>
      <c r="R36" s="52"/>
      <c r="S36" s="52"/>
      <c r="T36" s="52"/>
      <c r="U36" s="52"/>
      <c r="V36" s="52"/>
      <c r="W36" s="52"/>
      <c r="X36" s="52"/>
    </row>
    <row r="37" spans="1:24" s="87" customFormat="1" ht="10.15" customHeight="1" x14ac:dyDescent="0.2">
      <c r="A37" s="90"/>
      <c r="B37" s="52"/>
      <c r="C37" s="52"/>
      <c r="D37" s="52"/>
      <c r="E37" s="52"/>
      <c r="F37" s="52"/>
      <c r="G37" s="52"/>
      <c r="H37" s="52"/>
      <c r="I37" s="52"/>
      <c r="J37" s="52"/>
      <c r="K37" s="52"/>
      <c r="L37" s="52"/>
      <c r="M37" s="52"/>
      <c r="N37" s="52"/>
      <c r="O37" s="52"/>
      <c r="P37" s="52"/>
      <c r="Q37" s="52"/>
      <c r="R37" s="52"/>
      <c r="S37" s="52"/>
      <c r="T37" s="52"/>
      <c r="U37" s="52"/>
      <c r="V37" s="52"/>
      <c r="W37" s="52"/>
      <c r="X37" s="52"/>
    </row>
    <row r="38" spans="1:24" s="87" customFormat="1" ht="18" customHeight="1" x14ac:dyDescent="0.2">
      <c r="A38" s="90" t="s">
        <v>304</v>
      </c>
      <c r="B38" s="52"/>
      <c r="C38" s="52"/>
      <c r="D38" s="52"/>
      <c r="E38" s="52"/>
      <c r="F38" s="52"/>
      <c r="G38" s="52"/>
      <c r="H38" s="52"/>
      <c r="I38" s="52"/>
      <c r="J38" s="52"/>
      <c r="K38" s="52"/>
      <c r="L38" s="52"/>
      <c r="M38" s="52"/>
      <c r="N38" s="52"/>
      <c r="O38" s="52"/>
      <c r="P38" s="52"/>
      <c r="Q38" s="52"/>
      <c r="R38" s="52"/>
      <c r="S38" s="52"/>
      <c r="T38" s="52"/>
      <c r="U38" s="52"/>
      <c r="V38" s="52"/>
      <c r="W38" s="52"/>
      <c r="X38" s="52"/>
    </row>
    <row r="39" spans="1:24" s="87" customFormat="1" ht="18" customHeight="1" x14ac:dyDescent="0.2">
      <c r="A39" s="1653" t="s">
        <v>95</v>
      </c>
      <c r="B39" s="1653"/>
      <c r="C39" s="1654" t="s">
        <v>305</v>
      </c>
      <c r="D39" s="1654"/>
      <c r="E39" s="1654"/>
      <c r="F39" s="1654"/>
      <c r="G39" s="1654"/>
      <c r="H39" s="1654"/>
      <c r="I39" s="1654"/>
      <c r="J39" s="1654"/>
      <c r="K39" s="1654"/>
      <c r="L39" s="1654"/>
      <c r="M39" s="1654"/>
      <c r="N39" s="1654"/>
      <c r="O39" s="1654"/>
      <c r="P39" s="1654"/>
      <c r="Q39" s="1654"/>
      <c r="R39" s="1654"/>
      <c r="S39" s="1654"/>
      <c r="T39" s="1654"/>
      <c r="U39" s="52"/>
      <c r="V39" s="52"/>
      <c r="W39" s="52"/>
      <c r="X39" s="52"/>
    </row>
    <row r="40" spans="1:24" s="87" customFormat="1" ht="18" customHeight="1" x14ac:dyDescent="0.2">
      <c r="A40" s="1655" t="s">
        <v>306</v>
      </c>
      <c r="B40" s="1655"/>
      <c r="C40" s="1655"/>
      <c r="D40" s="1655"/>
      <c r="E40" s="1655"/>
      <c r="F40" s="1655"/>
      <c r="G40" s="1655"/>
      <c r="H40" s="1655"/>
      <c r="I40" s="1655"/>
      <c r="J40" s="1655"/>
      <c r="K40" s="1655"/>
      <c r="L40" s="1655"/>
      <c r="M40" s="1655"/>
      <c r="N40" s="1655"/>
      <c r="O40" s="1655"/>
      <c r="P40" s="1655"/>
      <c r="Q40" s="1655"/>
      <c r="R40" s="1655"/>
      <c r="S40" s="1655"/>
      <c r="T40" s="1655"/>
      <c r="U40" s="52"/>
      <c r="V40" s="52"/>
      <c r="W40" s="52"/>
      <c r="X40" s="52"/>
    </row>
    <row r="41" spans="1:24" s="87" customFormat="1" ht="18" customHeight="1" x14ac:dyDescent="0.2">
      <c r="A41" s="1411" t="s">
        <v>96</v>
      </c>
      <c r="B41" s="1411"/>
      <c r="C41" s="1616" t="s">
        <v>307</v>
      </c>
      <c r="D41" s="1616"/>
      <c r="E41" s="1616"/>
      <c r="F41" s="1616"/>
      <c r="G41" s="1616"/>
      <c r="H41" s="1616"/>
      <c r="I41" s="1616"/>
      <c r="J41" s="1616"/>
      <c r="K41" s="1616"/>
      <c r="L41" s="1616"/>
      <c r="M41" s="1616"/>
      <c r="N41" s="1616"/>
      <c r="O41" s="1616"/>
      <c r="P41" s="1616"/>
      <c r="Q41" s="1616"/>
      <c r="R41" s="1616"/>
      <c r="S41" s="1616"/>
      <c r="T41" s="1616"/>
      <c r="U41" s="52"/>
      <c r="V41" s="52"/>
      <c r="W41" s="52"/>
      <c r="X41" s="52"/>
    </row>
    <row r="42" spans="1:24" s="87" customFormat="1" ht="18" customHeight="1" x14ac:dyDescent="0.2">
      <c r="A42" s="1411"/>
      <c r="B42" s="1411"/>
      <c r="C42" s="1616" t="s">
        <v>308</v>
      </c>
      <c r="D42" s="1616"/>
      <c r="E42" s="1616"/>
      <c r="F42" s="1616"/>
      <c r="G42" s="1616"/>
      <c r="H42" s="1616"/>
      <c r="I42" s="1616"/>
      <c r="J42" s="1616"/>
      <c r="K42" s="1616"/>
      <c r="L42" s="1616"/>
      <c r="M42" s="1616"/>
      <c r="N42" s="1616"/>
      <c r="O42" s="1616"/>
      <c r="P42" s="1616"/>
      <c r="Q42" s="1616"/>
      <c r="R42" s="1616"/>
      <c r="S42" s="1616"/>
      <c r="T42" s="1616"/>
      <c r="U42" s="52"/>
      <c r="V42" s="52"/>
      <c r="W42" s="52"/>
      <c r="X42" s="52"/>
    </row>
    <row r="43" spans="1:24" s="87" customFormat="1" ht="18" customHeight="1" x14ac:dyDescent="0.2">
      <c r="A43" s="1411" t="s">
        <v>67</v>
      </c>
      <c r="B43" s="1411"/>
      <c r="C43" s="1616" t="s">
        <v>309</v>
      </c>
      <c r="D43" s="1616"/>
      <c r="E43" s="1616"/>
      <c r="F43" s="1616"/>
      <c r="G43" s="1616"/>
      <c r="H43" s="1616"/>
      <c r="I43" s="1616"/>
      <c r="J43" s="1616"/>
      <c r="K43" s="1616"/>
      <c r="L43" s="1616"/>
      <c r="M43" s="1616"/>
      <c r="N43" s="1616"/>
      <c r="O43" s="1616"/>
      <c r="P43" s="1616"/>
      <c r="Q43" s="1616"/>
      <c r="R43" s="1616"/>
      <c r="S43" s="1616"/>
      <c r="T43" s="1616"/>
      <c r="U43" s="52"/>
      <c r="V43" s="52"/>
      <c r="W43" s="52"/>
      <c r="X43" s="52"/>
    </row>
    <row r="44" spans="1:24" s="87" customFormat="1" ht="18" customHeight="1" x14ac:dyDescent="0.2">
      <c r="A44" s="1411"/>
      <c r="B44" s="1411"/>
      <c r="C44" s="1651" t="s">
        <v>310</v>
      </c>
      <c r="D44" s="1652"/>
      <c r="E44" s="1652"/>
      <c r="F44" s="1652"/>
      <c r="G44" s="1652"/>
      <c r="H44" s="1652"/>
      <c r="I44" s="1652"/>
      <c r="J44" s="1652"/>
      <c r="K44" s="1652"/>
      <c r="L44" s="1652"/>
      <c r="M44" s="1652"/>
      <c r="N44" s="1652"/>
      <c r="O44" s="1652"/>
      <c r="P44" s="1652"/>
      <c r="Q44" s="1652"/>
      <c r="R44" s="1652"/>
      <c r="S44" s="1652"/>
      <c r="T44" s="1652"/>
      <c r="U44" s="52"/>
      <c r="V44" s="52"/>
      <c r="W44" s="52"/>
      <c r="X44" s="52"/>
    </row>
    <row r="45" spans="1:24" s="87" customFormat="1" ht="18" customHeight="1" x14ac:dyDescent="0.2">
      <c r="A45" s="90"/>
      <c r="B45" s="52"/>
      <c r="C45" s="52"/>
      <c r="D45" s="52"/>
      <c r="E45" s="52"/>
      <c r="F45" s="52"/>
      <c r="G45" s="52"/>
      <c r="H45" s="52"/>
      <c r="I45" s="52"/>
      <c r="J45" s="52"/>
      <c r="K45" s="52"/>
      <c r="L45" s="52"/>
      <c r="M45" s="52"/>
      <c r="N45" s="52"/>
      <c r="O45" s="52"/>
      <c r="P45" s="52"/>
      <c r="Q45" s="52"/>
      <c r="R45" s="52"/>
      <c r="S45" s="52"/>
      <c r="T45" s="52"/>
      <c r="U45" s="52"/>
      <c r="V45" s="52"/>
      <c r="W45" s="52"/>
      <c r="X45" s="52"/>
    </row>
    <row r="46" spans="1:24" s="87" customFormat="1" ht="18" customHeight="1" x14ac:dyDescent="0.2">
      <c r="A46" s="1653" t="s">
        <v>95</v>
      </c>
      <c r="B46" s="1653"/>
      <c r="C46" s="1654" t="s">
        <v>305</v>
      </c>
      <c r="D46" s="1654"/>
      <c r="E46" s="1654"/>
      <c r="F46" s="1654"/>
      <c r="G46" s="1654"/>
      <c r="H46" s="1654"/>
      <c r="I46" s="1654"/>
      <c r="J46" s="1654"/>
      <c r="K46" s="1654"/>
      <c r="L46" s="1654"/>
      <c r="M46" s="1654"/>
      <c r="N46" s="1654"/>
      <c r="O46" s="1654"/>
      <c r="P46" s="1654"/>
      <c r="Q46" s="1654"/>
      <c r="R46" s="1654"/>
      <c r="S46" s="1654"/>
      <c r="T46" s="1654"/>
      <c r="U46" s="52"/>
      <c r="V46" s="52"/>
      <c r="W46" s="52"/>
      <c r="X46" s="52"/>
    </row>
    <row r="47" spans="1:24" s="87" customFormat="1" ht="18" customHeight="1" x14ac:dyDescent="0.2">
      <c r="A47" s="1655" t="s">
        <v>311</v>
      </c>
      <c r="B47" s="1655"/>
      <c r="C47" s="1655"/>
      <c r="D47" s="1655"/>
      <c r="E47" s="1655"/>
      <c r="F47" s="1655"/>
      <c r="G47" s="1655"/>
      <c r="H47" s="1655"/>
      <c r="I47" s="1655"/>
      <c r="J47" s="1655"/>
      <c r="K47" s="1655"/>
      <c r="L47" s="1655"/>
      <c r="M47" s="1655"/>
      <c r="N47" s="1655"/>
      <c r="O47" s="1655"/>
      <c r="P47" s="1655"/>
      <c r="Q47" s="1655"/>
      <c r="R47" s="1655"/>
      <c r="S47" s="1655"/>
      <c r="T47" s="1655"/>
      <c r="U47" s="52"/>
      <c r="V47" s="52"/>
      <c r="W47" s="52"/>
      <c r="X47" s="52"/>
    </row>
    <row r="48" spans="1:24" s="87" customFormat="1" ht="18" customHeight="1" x14ac:dyDescent="0.2">
      <c r="A48" s="1411"/>
      <c r="B48" s="1411"/>
      <c r="C48" s="1616" t="s">
        <v>312</v>
      </c>
      <c r="D48" s="1616"/>
      <c r="E48" s="1616"/>
      <c r="F48" s="1616"/>
      <c r="G48" s="1616"/>
      <c r="H48" s="1616"/>
      <c r="I48" s="1616"/>
      <c r="J48" s="1616"/>
      <c r="K48" s="1616"/>
      <c r="L48" s="1616"/>
      <c r="M48" s="1616"/>
      <c r="N48" s="1616"/>
      <c r="O48" s="1616"/>
      <c r="P48" s="1616"/>
      <c r="Q48" s="1616"/>
      <c r="R48" s="1616"/>
      <c r="S48" s="1616"/>
      <c r="T48" s="1616"/>
      <c r="U48" s="52"/>
      <c r="V48" s="52"/>
      <c r="W48" s="52"/>
      <c r="X48" s="52"/>
    </row>
    <row r="49" spans="1:25" s="87" customFormat="1" ht="18" customHeight="1" x14ac:dyDescent="0.2">
      <c r="A49" s="1411" t="s">
        <v>67</v>
      </c>
      <c r="B49" s="1411"/>
      <c r="C49" s="1616" t="s">
        <v>313</v>
      </c>
      <c r="D49" s="1616"/>
      <c r="E49" s="1616"/>
      <c r="F49" s="1616"/>
      <c r="G49" s="1616"/>
      <c r="H49" s="1616"/>
      <c r="I49" s="1616"/>
      <c r="J49" s="1616"/>
      <c r="K49" s="1616"/>
      <c r="L49" s="1616"/>
      <c r="M49" s="1616"/>
      <c r="N49" s="1616"/>
      <c r="O49" s="1616"/>
      <c r="P49" s="1616"/>
      <c r="Q49" s="1616"/>
      <c r="R49" s="1616"/>
      <c r="S49" s="1616"/>
      <c r="T49" s="1616"/>
      <c r="U49" s="52"/>
      <c r="V49" s="52"/>
      <c r="W49" s="52"/>
      <c r="X49" s="52"/>
    </row>
    <row r="50" spans="1:25" s="87" customFormat="1" ht="38.25" customHeight="1" x14ac:dyDescent="0.2">
      <c r="A50" s="1411" t="s">
        <v>96</v>
      </c>
      <c r="B50" s="1411"/>
      <c r="C50" s="1651" t="s">
        <v>1055</v>
      </c>
      <c r="D50" s="1652"/>
      <c r="E50" s="1652"/>
      <c r="F50" s="1652"/>
      <c r="G50" s="1652"/>
      <c r="H50" s="1652"/>
      <c r="I50" s="1652"/>
      <c r="J50" s="1652"/>
      <c r="K50" s="1652"/>
      <c r="L50" s="1652"/>
      <c r="M50" s="1652"/>
      <c r="N50" s="1652"/>
      <c r="O50" s="1652"/>
      <c r="P50" s="1652"/>
      <c r="Q50" s="1652"/>
      <c r="R50" s="1652"/>
      <c r="S50" s="1652"/>
      <c r="T50" s="1652"/>
      <c r="U50" s="52"/>
      <c r="V50" s="52"/>
      <c r="W50" s="52"/>
      <c r="X50" s="52"/>
    </row>
    <row r="51" spans="1:25" s="87" customFormat="1" ht="58.5" customHeight="1" x14ac:dyDescent="0.2">
      <c r="A51" s="90"/>
      <c r="B51" s="52"/>
      <c r="C51" s="52"/>
      <c r="D51" s="52"/>
      <c r="E51" s="52"/>
      <c r="F51" s="52"/>
      <c r="G51" s="52"/>
      <c r="H51" s="52"/>
      <c r="I51" s="52"/>
      <c r="J51" s="52"/>
      <c r="K51" s="52"/>
      <c r="L51" s="52"/>
      <c r="M51" s="52"/>
      <c r="N51" s="52"/>
      <c r="O51" s="52"/>
      <c r="P51" s="52"/>
      <c r="Q51" s="52"/>
      <c r="R51" s="52"/>
      <c r="S51" s="52"/>
      <c r="T51" s="52"/>
      <c r="U51" s="52"/>
      <c r="V51" s="52"/>
      <c r="W51" s="52"/>
      <c r="X51" s="52"/>
    </row>
    <row r="52" spans="1:25" s="51" customFormat="1" ht="18" customHeight="1" x14ac:dyDescent="0.2">
      <c r="A52" s="90" t="s">
        <v>314</v>
      </c>
      <c r="B52" s="52"/>
      <c r="C52" s="52"/>
      <c r="D52" s="52"/>
      <c r="E52" s="52"/>
      <c r="F52" s="52"/>
      <c r="G52" s="52"/>
      <c r="H52" s="52"/>
      <c r="I52" s="52"/>
      <c r="J52" s="52"/>
      <c r="K52" s="52"/>
      <c r="L52" s="52"/>
      <c r="M52" s="52"/>
      <c r="N52" s="52"/>
      <c r="O52" s="52"/>
      <c r="P52" s="52"/>
      <c r="Q52" s="52"/>
      <c r="R52" s="52"/>
      <c r="S52" s="52"/>
      <c r="T52" s="52"/>
      <c r="U52" s="52"/>
      <c r="V52" s="52"/>
      <c r="W52" s="52"/>
      <c r="X52" s="52"/>
    </row>
    <row r="53" spans="1:25" s="51" customFormat="1" ht="18" customHeight="1" x14ac:dyDescent="0.2">
      <c r="A53" s="90" t="s">
        <v>97</v>
      </c>
      <c r="B53" s="52"/>
      <c r="C53" s="52"/>
      <c r="D53" s="52"/>
      <c r="E53" s="52"/>
      <c r="F53" s="52"/>
      <c r="G53" s="52"/>
      <c r="H53" s="52"/>
      <c r="I53" s="52"/>
      <c r="J53" s="52"/>
      <c r="K53" s="52"/>
      <c r="L53" s="52"/>
      <c r="M53" s="52"/>
      <c r="N53" s="52"/>
      <c r="O53" s="52"/>
      <c r="P53" s="52"/>
      <c r="Q53" s="52"/>
      <c r="R53" s="52"/>
      <c r="S53" s="52"/>
      <c r="T53" s="52" t="s">
        <v>98</v>
      </c>
      <c r="U53" s="52"/>
      <c r="V53" s="52"/>
      <c r="W53" s="52"/>
      <c r="X53" s="52"/>
    </row>
    <row r="54" spans="1:25" s="51" customFormat="1" ht="18" customHeight="1" x14ac:dyDescent="0.2">
      <c r="A54" s="1634" t="s">
        <v>1998</v>
      </c>
      <c r="B54" s="1634"/>
      <c r="C54" s="1636" t="s">
        <v>316</v>
      </c>
      <c r="D54" s="1637"/>
      <c r="E54" s="180" t="s">
        <v>99</v>
      </c>
      <c r="F54" s="181"/>
      <c r="G54" s="181"/>
      <c r="H54" s="181"/>
      <c r="I54" s="181"/>
      <c r="J54" s="180" t="s">
        <v>6</v>
      </c>
      <c r="K54" s="181"/>
      <c r="L54" s="181"/>
      <c r="M54" s="181"/>
      <c r="N54" s="181"/>
      <c r="O54" s="180" t="s">
        <v>100</v>
      </c>
      <c r="P54" s="181"/>
      <c r="Q54" s="181"/>
      <c r="R54" s="181"/>
      <c r="S54" s="181"/>
      <c r="T54" s="180" t="s">
        <v>101</v>
      </c>
      <c r="U54" s="181"/>
      <c r="V54" s="181"/>
      <c r="W54" s="181"/>
      <c r="X54" s="182"/>
    </row>
    <row r="55" spans="1:25" s="51" customFormat="1" ht="39.950000000000003" customHeight="1" thickBot="1" x14ac:dyDescent="0.25">
      <c r="A55" s="1635"/>
      <c r="B55" s="1635"/>
      <c r="C55" s="1638"/>
      <c r="D55" s="1639"/>
      <c r="E55" s="98" t="s">
        <v>102</v>
      </c>
      <c r="F55" s="179" t="s">
        <v>811</v>
      </c>
      <c r="G55" s="99" t="s">
        <v>281</v>
      </c>
      <c r="H55" s="179" t="s">
        <v>809</v>
      </c>
      <c r="I55" s="183" t="s">
        <v>810</v>
      </c>
      <c r="J55" s="98" t="s">
        <v>103</v>
      </c>
      <c r="K55" s="179" t="s">
        <v>811</v>
      </c>
      <c r="L55" s="99" t="s">
        <v>281</v>
      </c>
      <c r="M55" s="179" t="s">
        <v>809</v>
      </c>
      <c r="N55" s="183" t="s">
        <v>810</v>
      </c>
      <c r="O55" s="98" t="s">
        <v>103</v>
      </c>
      <c r="P55" s="179" t="s">
        <v>811</v>
      </c>
      <c r="Q55" s="99" t="s">
        <v>281</v>
      </c>
      <c r="R55" s="179" t="s">
        <v>809</v>
      </c>
      <c r="S55" s="183" t="s">
        <v>810</v>
      </c>
      <c r="T55" s="98" t="s">
        <v>103</v>
      </c>
      <c r="U55" s="179" t="s">
        <v>811</v>
      </c>
      <c r="V55" s="100" t="s">
        <v>281</v>
      </c>
      <c r="W55" s="179" t="s">
        <v>809</v>
      </c>
      <c r="X55" s="179" t="s">
        <v>810</v>
      </c>
    </row>
    <row r="56" spans="1:25" s="51" customFormat="1" ht="28.9" customHeight="1" x14ac:dyDescent="0.2">
      <c r="A56" s="1641" t="s">
        <v>104</v>
      </c>
      <c r="B56" s="1642"/>
      <c r="C56" s="1643"/>
      <c r="D56" s="1644"/>
      <c r="E56" s="295">
        <f>ROUNDDOWN(SUMIFS(別紙２①!$F$18:$F$29,別紙２①!$V$18:$V$29,別紙１④!G56),0)</f>
        <v>946</v>
      </c>
      <c r="F56" s="313" t="s">
        <v>206</v>
      </c>
      <c r="G56" s="313" t="str">
        <f>別紙２①!$S$14&amp;別紙１④!$E$54&amp;別紙１④!$F56</f>
        <v>〇田急傾斜</v>
      </c>
      <c r="H56" s="296">
        <f>VLOOKUP($G56,プルダウンリスト!$D$15:$E$70,2,FALSE)</f>
        <v>21000</v>
      </c>
      <c r="I56" s="297">
        <f>ROUNDDOWN(E56*H56/1000,0)</f>
        <v>19866</v>
      </c>
      <c r="J56" s="295">
        <f>ROUNDDOWN(SUMIFS(別紙２①!$F$18:$F$29,別紙２①!$V$18:$V$29,別紙１④!L56),0)</f>
        <v>1840</v>
      </c>
      <c r="K56" s="313" t="s">
        <v>206</v>
      </c>
      <c r="L56" s="313" t="str">
        <f>別紙２①!$S$14&amp;$J$54&amp;K56</f>
        <v>〇畑急傾斜</v>
      </c>
      <c r="M56" s="296">
        <f>VLOOKUP(L56,プルダウンリスト!$D$15:$E$70,2,FALSE)</f>
        <v>11500</v>
      </c>
      <c r="N56" s="297">
        <f>ROUNDDOWN(J56*M56/1000,0)</f>
        <v>21160</v>
      </c>
      <c r="O56" s="295">
        <f>ROUNDDOWN(SUMIFS(別紙２①!$F$18:$F$29,別紙２①!$V$18:$V$29,別紙１④!Q56),0)</f>
        <v>0</v>
      </c>
      <c r="P56" s="313" t="s">
        <v>206</v>
      </c>
      <c r="Q56" s="313" t="str">
        <f>別紙２①!$S$14&amp;$O$54&amp;P56</f>
        <v>〇草地急傾斜</v>
      </c>
      <c r="R56" s="296">
        <f>VLOOKUP(Q56,プルダウンリスト!$D$15:$E$70,2,FALSE)</f>
        <v>10500</v>
      </c>
      <c r="S56" s="297">
        <f>ROUNDDOWN(O56*R56/1000,0)</f>
        <v>0</v>
      </c>
      <c r="T56" s="295">
        <f>ROUNDDOWN(SUMIFS(別紙２①!$F$18:$F$29,別紙２①!$V$18:$V$29,別紙１④!V56),0)</f>
        <v>0</v>
      </c>
      <c r="U56" s="313" t="s">
        <v>206</v>
      </c>
      <c r="V56" s="313" t="str">
        <f>別紙２①!$S$14&amp;$T$54&amp;U56</f>
        <v>〇採草放牧地急傾斜</v>
      </c>
      <c r="W56" s="296">
        <f>VLOOKUP(V56,プルダウンリスト!$D$15:$E$70,2,FALSE)</f>
        <v>1000</v>
      </c>
      <c r="X56" s="298">
        <f>ROUNDDOWN(T56*W56/1000,0)</f>
        <v>0</v>
      </c>
    </row>
    <row r="57" spans="1:25" s="51" customFormat="1" ht="28.9" customHeight="1" x14ac:dyDescent="0.2">
      <c r="A57" s="1641"/>
      <c r="B57" s="1642"/>
      <c r="C57" s="1645"/>
      <c r="D57" s="1646"/>
      <c r="E57" s="295">
        <f>ROUNDDOWN(SUMIFS(別紙２①!$F$18:$F$29,別紙２①!$V$18:$V$29,別紙１④!G57),0)</f>
        <v>1409</v>
      </c>
      <c r="F57" s="314" t="s">
        <v>243</v>
      </c>
      <c r="G57" s="314" t="str">
        <f>別紙２①!$S$14&amp;別紙１④!$E$54&amp;別紙１④!$F57</f>
        <v>〇田緩傾斜</v>
      </c>
      <c r="H57" s="299">
        <f>VLOOKUP($G57,プルダウンリスト!$D$15:$E$70,2,FALSE)</f>
        <v>8000</v>
      </c>
      <c r="I57" s="300">
        <f>ROUNDDOWN(E57*H57/1000,0)</f>
        <v>11272</v>
      </c>
      <c r="J57" s="295">
        <f>ROUNDDOWN(SUMIFS(別紙２①!$F$18:$F$29,別紙２①!$V$18:$V$29,別紙１④!L57),0)</f>
        <v>6340</v>
      </c>
      <c r="K57" s="314" t="s">
        <v>243</v>
      </c>
      <c r="L57" s="314" t="str">
        <f>別紙２①!$S$14&amp;$J$54&amp;K57</f>
        <v>〇畑緩傾斜</v>
      </c>
      <c r="M57" s="299">
        <f>VLOOKUP(L57,プルダウンリスト!$D$15:$E$70,2,FALSE)</f>
        <v>3500</v>
      </c>
      <c r="N57" s="300">
        <f t="shared" ref="N57:N61" si="0">ROUNDDOWN(J57*M57/1000,0)</f>
        <v>22190</v>
      </c>
      <c r="O57" s="295">
        <f>ROUNDDOWN(SUMIFS(別紙２①!$F$18:$F$29,別紙２①!$V$18:$V$29,別紙１④!Q57),0)</f>
        <v>0</v>
      </c>
      <c r="P57" s="314" t="s">
        <v>243</v>
      </c>
      <c r="Q57" s="314" t="str">
        <f>別紙２①!$S$14&amp;$O$54&amp;P57</f>
        <v>〇草地緩傾斜</v>
      </c>
      <c r="R57" s="299">
        <f>VLOOKUP(Q57,プルダウンリスト!$D$15:$E$70,2,FALSE)</f>
        <v>3000</v>
      </c>
      <c r="S57" s="297">
        <f t="shared" ref="S57:S62" si="1">ROUNDDOWN(O57*R57/1000,0)</f>
        <v>0</v>
      </c>
      <c r="T57" s="295">
        <f>ROUNDDOWN(SUMIFS(別紙２①!$F$18:$F$29,別紙２①!$V$18:$V$29,別紙１④!V57),0)</f>
        <v>0</v>
      </c>
      <c r="U57" s="314" t="s">
        <v>243</v>
      </c>
      <c r="V57" s="314" t="str">
        <f>別紙２①!$S$14&amp;$T$54&amp;U57</f>
        <v>〇採草放牧地緩傾斜</v>
      </c>
      <c r="W57" s="299">
        <f>VLOOKUP(V57,プルダウンリスト!$D$15:$E$70,2,FALSE)</f>
        <v>300</v>
      </c>
      <c r="X57" s="298">
        <f t="shared" ref="X57:X60" si="2">ROUNDDOWN(T57*W57/1000,0)</f>
        <v>0</v>
      </c>
    </row>
    <row r="58" spans="1:25" s="51" customFormat="1" ht="28.9" customHeight="1" x14ac:dyDescent="0.2">
      <c r="A58" s="1641"/>
      <c r="B58" s="1642"/>
      <c r="C58" s="1645"/>
      <c r="D58" s="1646"/>
      <c r="E58" s="295">
        <f>ROUNDDOWN(SUMIFS(別紙２①!$F$18:$F$29,別紙２①!$V$18:$V$29,別紙１④!G58),0)</f>
        <v>0</v>
      </c>
      <c r="F58" s="314" t="s">
        <v>105</v>
      </c>
      <c r="G58" s="314" t="str">
        <f>別紙２①!$S$14&amp;別紙１④!$E$54&amp;別紙１④!$F58</f>
        <v>〇田小区画・不整形</v>
      </c>
      <c r="H58" s="299">
        <f>VLOOKUP($G58,プルダウンリスト!$D$15:$E$70,2,FALSE)</f>
        <v>8000</v>
      </c>
      <c r="I58" s="300">
        <f t="shared" ref="I58:I61" si="3">ROUNDDOWN(E58*H58/1000,0)</f>
        <v>0</v>
      </c>
      <c r="J58" s="295">
        <f>ROUNDDOWN(SUMIFS(別紙２①!$F$18:$F$29,別紙２①!$V$18:$V$29,別紙１④!L58),0)</f>
        <v>0</v>
      </c>
      <c r="K58" s="314" t="s">
        <v>244</v>
      </c>
      <c r="L58" s="314" t="str">
        <f>別紙２①!$S$14&amp;$J$54&amp;K58</f>
        <v>〇畑高齢化・耕作放棄率</v>
      </c>
      <c r="M58" s="299">
        <f>VLOOKUP(L58,プルダウンリスト!$D$15:$E$70,2,FALSE)</f>
        <v>3500</v>
      </c>
      <c r="N58" s="300">
        <f t="shared" si="0"/>
        <v>0</v>
      </c>
      <c r="O58" s="295">
        <f>ROUNDDOWN(SUMIFS(別紙２①!$F$18:$F$29,別紙２①!$V$18:$V$29,別紙１④!Q58),0)</f>
        <v>0</v>
      </c>
      <c r="P58" s="314" t="s">
        <v>244</v>
      </c>
      <c r="Q58" s="314" t="str">
        <f>別紙２①!$S$14&amp;$O$54&amp;P58</f>
        <v>〇草地高齢化・耕作放棄率</v>
      </c>
      <c r="R58" s="299">
        <f>VLOOKUP(Q58,プルダウンリスト!$D$15:$E$70,2,FALSE)</f>
        <v>3000</v>
      </c>
      <c r="S58" s="297">
        <f t="shared" si="1"/>
        <v>0</v>
      </c>
      <c r="T58" s="295">
        <f>ROUNDDOWN(SUMIFS(別紙２①!$F$18:$F$29,別紙２①!$V$18:$V$29,別紙１④!V58),0)</f>
        <v>0</v>
      </c>
      <c r="U58" s="314" t="s">
        <v>207</v>
      </c>
      <c r="V58" s="314" t="str">
        <f>別紙２①!$S$14&amp;$T$54&amp;U58</f>
        <v>〇採草放牧地特認基準</v>
      </c>
      <c r="W58" s="299">
        <f>VLOOKUP(V58,プルダウンリスト!$D$15:$E$70,2,FALSE)</f>
        <v>300</v>
      </c>
      <c r="X58" s="298">
        <f t="shared" si="2"/>
        <v>0</v>
      </c>
    </row>
    <row r="59" spans="1:25" s="51" customFormat="1" ht="36" customHeight="1" x14ac:dyDescent="0.2">
      <c r="A59" s="1641"/>
      <c r="B59" s="1642"/>
      <c r="C59" s="1645"/>
      <c r="D59" s="1646"/>
      <c r="E59" s="295">
        <f>ROUNDDOWN(SUMIFS(別紙２①!$F$18:$F$29,別紙２①!$V$18:$V$29,別紙１④!G59),0)</f>
        <v>0</v>
      </c>
      <c r="F59" s="314" t="s">
        <v>244</v>
      </c>
      <c r="G59" s="314" t="str">
        <f>別紙２①!$S$14&amp;別紙１④!$E$54&amp;別紙１④!$F59</f>
        <v>〇田高齢化・耕作放棄率</v>
      </c>
      <c r="H59" s="299">
        <f>VLOOKUP($G59,プルダウンリスト!$D$15:$E$70,2,FALSE)</f>
        <v>8000</v>
      </c>
      <c r="I59" s="300">
        <f t="shared" si="3"/>
        <v>0</v>
      </c>
      <c r="J59" s="295">
        <f>ROUNDDOWN(SUMIFS(別紙２①!$F$18:$F$29,別紙２①!$V$18:$V$29,別紙１④!L59),0)</f>
        <v>0</v>
      </c>
      <c r="K59" s="314" t="s">
        <v>207</v>
      </c>
      <c r="L59" s="314" t="str">
        <f>別紙２①!$S$14&amp;$J$54&amp;K59</f>
        <v>〇畑特認基準</v>
      </c>
      <c r="M59" s="299">
        <f>VLOOKUP(L59,プルダウンリスト!$D$15:$E$70,2,FALSE)</f>
        <v>3500</v>
      </c>
      <c r="N59" s="300">
        <f t="shared" si="0"/>
        <v>0</v>
      </c>
      <c r="O59" s="295">
        <f>ROUNDDOWN(SUMIFS(別紙２①!$F$18:$F$29,別紙２①!$V$18:$V$29,別紙１④!Q59),0)</f>
        <v>0</v>
      </c>
      <c r="P59" s="314" t="s">
        <v>250</v>
      </c>
      <c r="Q59" s="314" t="str">
        <f>別紙２①!$S$14&amp;$O$54&amp;P59</f>
        <v>〇草地草地比率の高い草地</v>
      </c>
      <c r="R59" s="299">
        <f>VLOOKUP(Q59,プルダウンリスト!$D$15:$E$70,2,FALSE)</f>
        <v>1500</v>
      </c>
      <c r="S59" s="297">
        <f t="shared" si="1"/>
        <v>0</v>
      </c>
      <c r="T59" s="295">
        <f>ROUNDDOWN(SUMIFS(別紙２①!$F$18:$F$29,別紙２①!$V$18:$V$29,別紙１④!V59),0)</f>
        <v>0</v>
      </c>
      <c r="U59" s="315" t="s">
        <v>2007</v>
      </c>
      <c r="V59" s="314" t="str">
        <f>別紙２①!$S$14&amp;$T$54&amp;U59</f>
        <v>〇採草放牧地交付対象外（田採草放牧地混在地）</v>
      </c>
      <c r="W59" s="299">
        <f>VLOOKUP(V59,プルダウンリスト!$D$15:$E$70,2,FALSE)</f>
        <v>0</v>
      </c>
      <c r="X59" s="298">
        <f t="shared" si="2"/>
        <v>0</v>
      </c>
    </row>
    <row r="60" spans="1:25" s="51" customFormat="1" ht="36" customHeight="1" x14ac:dyDescent="0.2">
      <c r="A60" s="1641"/>
      <c r="B60" s="1642"/>
      <c r="C60" s="1645"/>
      <c r="D60" s="1646"/>
      <c r="E60" s="295">
        <f>ROUNDDOWN(SUMIFS(別紙２①!$F$18:$F$29,別紙２①!$V$18:$V$29,別紙１④!G60),0)</f>
        <v>0</v>
      </c>
      <c r="F60" s="314" t="s">
        <v>207</v>
      </c>
      <c r="G60" s="314" t="str">
        <f>別紙２①!$S$14&amp;別紙１④!$E$54&amp;別紙１④!$F60</f>
        <v>〇田特認基準</v>
      </c>
      <c r="H60" s="299">
        <f>VLOOKUP($G60,プルダウンリスト!$D$15:$E$70,2,FALSE)</f>
        <v>8000</v>
      </c>
      <c r="I60" s="300">
        <f t="shared" si="3"/>
        <v>0</v>
      </c>
      <c r="J60" s="295">
        <f>ROUNDDOWN(SUMIFS(別紙２①!$F$18:$F$29,別紙２①!$V$18:$V$29,別紙１④!L60),0)</f>
        <v>0</v>
      </c>
      <c r="K60" s="315" t="s">
        <v>2004</v>
      </c>
      <c r="L60" s="314" t="str">
        <f>別紙２①!$S$14&amp;$J$54&amp;K60</f>
        <v>〇畑交付対象外（田畑混在地）</v>
      </c>
      <c r="M60" s="299">
        <f>VLOOKUP(L60,プルダウンリスト!$D$15:$E$70,2,FALSE)</f>
        <v>0</v>
      </c>
      <c r="N60" s="300">
        <f t="shared" si="0"/>
        <v>0</v>
      </c>
      <c r="O60" s="295">
        <f>ROUNDDOWN(SUMIFS(別紙２①!$F$18:$F$29,別紙２①!$V$18:$V$29,別紙１④!Q60),0)</f>
        <v>0</v>
      </c>
      <c r="P60" s="314" t="s">
        <v>207</v>
      </c>
      <c r="Q60" s="314" t="str">
        <f>別紙２①!$S$14&amp;$O$54&amp;P60</f>
        <v>〇草地特認基準</v>
      </c>
      <c r="R60" s="299">
        <f>VLOOKUP(Q60,プルダウンリスト!$D$15:$E$70,2,FALSE)</f>
        <v>3000</v>
      </c>
      <c r="S60" s="297">
        <f t="shared" si="1"/>
        <v>0</v>
      </c>
      <c r="T60" s="295">
        <f>ROUNDDOWN(SUMIFS(別紙２①!$F$18:$F$29,別紙２①!$V$18:$V$29,別紙１④!V60),0)</f>
        <v>0</v>
      </c>
      <c r="U60" s="315" t="s">
        <v>2009</v>
      </c>
      <c r="V60" s="314" t="str">
        <f>別紙２①!$S$14&amp;$T$54&amp;U60</f>
        <v>〇採草放牧地交付対象外（田採草放牧地混在地以外）</v>
      </c>
      <c r="W60" s="299">
        <f>VLOOKUP(V60,プルダウンリスト!$D$15:$E$70,2,FALSE)</f>
        <v>0</v>
      </c>
      <c r="X60" s="298">
        <f t="shared" si="2"/>
        <v>0</v>
      </c>
    </row>
    <row r="61" spans="1:25" s="51" customFormat="1" ht="28.9" customHeight="1" x14ac:dyDescent="0.2">
      <c r="A61" s="1641"/>
      <c r="B61" s="1642"/>
      <c r="C61" s="1645"/>
      <c r="D61" s="1646"/>
      <c r="E61" s="295">
        <f>ROUNDDOWN(SUMIFS(別紙２①!$F$18:$F$29,別紙２①!$V$18:$V$29,別紙１④!G61),0)</f>
        <v>0</v>
      </c>
      <c r="F61" s="314" t="s">
        <v>245</v>
      </c>
      <c r="G61" s="314" t="str">
        <f>別紙２①!$S$14&amp;別紙１④!$E$54&amp;別紙１④!$F61</f>
        <v>〇田交付対象外</v>
      </c>
      <c r="H61" s="299">
        <f>VLOOKUP($G61,プルダウンリスト!$D$15:$E$70,2,FALSE)</f>
        <v>0</v>
      </c>
      <c r="I61" s="300">
        <f t="shared" si="3"/>
        <v>0</v>
      </c>
      <c r="J61" s="295">
        <f>ROUNDDOWN(SUMIFS(別紙２①!$F$18:$F$29,別紙２①!$V$18:$V$29,別紙１④!L61),0)</f>
        <v>0</v>
      </c>
      <c r="K61" s="315" t="s">
        <v>2005</v>
      </c>
      <c r="L61" s="314" t="str">
        <f>別紙２①!$S$14&amp;$J$54&amp;K61</f>
        <v>〇畑交付対象外（田畑混在地以外）</v>
      </c>
      <c r="M61" s="299">
        <f>VLOOKUP(L61,プルダウンリスト!$D$15:$E$70,2,FALSE)</f>
        <v>0</v>
      </c>
      <c r="N61" s="300">
        <f t="shared" si="0"/>
        <v>0</v>
      </c>
      <c r="O61" s="295">
        <f>ROUNDDOWN(SUMIFS(別紙２①!$F$18:$F$29,別紙２①!$V$18:$V$29,別紙１④!Q61),0)</f>
        <v>0</v>
      </c>
      <c r="P61" s="315" t="s">
        <v>2006</v>
      </c>
      <c r="Q61" s="314" t="str">
        <f>別紙２①!$S$14&amp;$O$54&amp;P61</f>
        <v>〇草地交付対象外（田草地混在地）</v>
      </c>
      <c r="R61" s="299">
        <f>VLOOKUP(Q61,プルダウンリスト!$D$15:$E$70,2,FALSE)</f>
        <v>0</v>
      </c>
      <c r="S61" s="297">
        <f t="shared" si="1"/>
        <v>0</v>
      </c>
      <c r="T61" s="295"/>
      <c r="U61" s="315"/>
      <c r="V61" s="314"/>
      <c r="W61" s="299"/>
      <c r="X61" s="298"/>
    </row>
    <row r="62" spans="1:25" s="51" customFormat="1" ht="28.9" customHeight="1" thickBot="1" x14ac:dyDescent="0.25">
      <c r="A62" s="1641"/>
      <c r="B62" s="1642"/>
      <c r="C62" s="1645"/>
      <c r="D62" s="1646"/>
      <c r="E62" s="301"/>
      <c r="F62" s="315"/>
      <c r="G62" s="314"/>
      <c r="H62" s="299"/>
      <c r="I62" s="300"/>
      <c r="J62" s="301"/>
      <c r="K62" s="315"/>
      <c r="L62" s="314"/>
      <c r="M62" s="299"/>
      <c r="N62" s="300"/>
      <c r="O62" s="295">
        <f>ROUNDDOWN(SUMIFS(別紙２①!$F$18:$F$29,別紙２①!$V$18:$V$29,別紙１④!Q62),0)</f>
        <v>0</v>
      </c>
      <c r="P62" s="315" t="s">
        <v>2008</v>
      </c>
      <c r="Q62" s="314" t="str">
        <f>別紙２①!$S$14&amp;$O$54&amp;P62</f>
        <v>〇草地交付対象外（田草地混在地以外）</v>
      </c>
      <c r="R62" s="299">
        <f>VLOOKUP(Q62,プルダウンリスト!$D$15:$E$70,2,FALSE)</f>
        <v>0</v>
      </c>
      <c r="S62" s="297">
        <f t="shared" si="1"/>
        <v>0</v>
      </c>
      <c r="T62" s="302"/>
      <c r="U62" s="317"/>
      <c r="V62" s="317"/>
      <c r="W62" s="303"/>
      <c r="X62" s="304"/>
    </row>
    <row r="63" spans="1:25" s="79" customFormat="1" ht="18" customHeight="1" x14ac:dyDescent="0.2">
      <c r="A63" s="1647" t="s">
        <v>106</v>
      </c>
      <c r="B63" s="1648"/>
      <c r="C63" s="1649">
        <f>E63+J63+O63+T63</f>
        <v>10535</v>
      </c>
      <c r="D63" s="1650"/>
      <c r="E63" s="305">
        <f>SUM(E56:E62)</f>
        <v>2355</v>
      </c>
      <c r="F63" s="316"/>
      <c r="G63" s="316"/>
      <c r="H63" s="306"/>
      <c r="I63" s="307">
        <f>SUM(I56:I62)</f>
        <v>31138</v>
      </c>
      <c r="J63" s="305">
        <f>SUM(J56:J62)</f>
        <v>8180</v>
      </c>
      <c r="K63" s="316"/>
      <c r="L63" s="316"/>
      <c r="M63" s="306"/>
      <c r="N63" s="307">
        <f>SUM(N56:N62)</f>
        <v>43350</v>
      </c>
      <c r="O63" s="305">
        <f>SUM(O56:O62)</f>
        <v>0</v>
      </c>
      <c r="P63" s="316"/>
      <c r="Q63" s="316"/>
      <c r="R63" s="306"/>
      <c r="S63" s="307">
        <f>SUM(S56:S62)</f>
        <v>0</v>
      </c>
      <c r="T63" s="305">
        <f>SUM(T56:T62)</f>
        <v>0</v>
      </c>
      <c r="U63" s="316"/>
      <c r="V63" s="318"/>
      <c r="W63" s="306"/>
      <c r="X63" s="308">
        <f>SUM(X56:X62)</f>
        <v>0</v>
      </c>
      <c r="Y63" s="78"/>
    </row>
    <row r="64" spans="1:25" s="51" customFormat="1" ht="18" customHeight="1" x14ac:dyDescent="0.2">
      <c r="A64" s="90"/>
      <c r="B64" s="52"/>
      <c r="C64" s="52"/>
      <c r="D64" s="52"/>
      <c r="E64" s="52"/>
      <c r="F64" s="52"/>
      <c r="G64" s="52"/>
      <c r="H64" s="52"/>
      <c r="I64" s="52"/>
      <c r="J64" s="52"/>
      <c r="K64" s="52"/>
      <c r="L64" s="52"/>
      <c r="M64" s="52"/>
      <c r="N64" s="52"/>
      <c r="O64" s="52"/>
      <c r="P64" s="52"/>
      <c r="Q64" s="52"/>
      <c r="R64" s="52"/>
      <c r="S64" s="52"/>
      <c r="T64" s="52"/>
      <c r="U64" s="52"/>
      <c r="V64" s="52"/>
      <c r="W64" s="52"/>
      <c r="X64" s="101"/>
    </row>
    <row r="65" spans="1:25" s="51" customFormat="1" ht="18" customHeight="1" x14ac:dyDescent="0.2">
      <c r="A65" s="90" t="s">
        <v>107</v>
      </c>
      <c r="B65" s="52"/>
      <c r="C65" s="52"/>
      <c r="D65" s="52"/>
      <c r="E65" s="52"/>
      <c r="F65" s="52"/>
      <c r="G65" s="52"/>
      <c r="H65" s="52"/>
      <c r="I65" s="52"/>
      <c r="J65" s="52"/>
      <c r="K65" s="52"/>
      <c r="L65" s="52"/>
      <c r="M65" s="52"/>
      <c r="N65" s="52"/>
      <c r="O65" s="52"/>
      <c r="P65" s="52"/>
      <c r="Q65" s="52"/>
      <c r="R65" s="52"/>
      <c r="S65" s="52"/>
      <c r="T65" s="52"/>
      <c r="U65" s="52"/>
      <c r="V65" s="52"/>
      <c r="W65" s="52"/>
      <c r="X65" s="52"/>
    </row>
    <row r="66" spans="1:25" s="51" customFormat="1" ht="7.15" customHeight="1" x14ac:dyDescent="0.2">
      <c r="A66" s="90"/>
      <c r="B66" s="52"/>
      <c r="C66" s="52"/>
      <c r="D66" s="52"/>
      <c r="E66" s="52"/>
      <c r="F66" s="52"/>
      <c r="G66" s="52"/>
      <c r="H66" s="52"/>
      <c r="I66" s="52"/>
      <c r="J66" s="52"/>
      <c r="K66" s="52"/>
      <c r="L66" s="52"/>
      <c r="M66" s="52"/>
      <c r="N66" s="52"/>
      <c r="O66" s="52"/>
      <c r="P66" s="52"/>
      <c r="Q66" s="52"/>
      <c r="R66" s="52"/>
      <c r="S66" s="52"/>
      <c r="T66" s="52"/>
      <c r="U66" s="52"/>
      <c r="V66" s="52"/>
      <c r="W66" s="52"/>
      <c r="X66" s="52"/>
    </row>
    <row r="67" spans="1:25" s="51" customFormat="1" ht="18" customHeight="1" x14ac:dyDescent="0.2">
      <c r="A67" s="90" t="s">
        <v>108</v>
      </c>
      <c r="B67" s="52"/>
      <c r="C67" s="52"/>
      <c r="D67" s="52"/>
      <c r="E67" s="52"/>
      <c r="F67" s="52"/>
      <c r="G67" s="52"/>
      <c r="H67" s="52"/>
      <c r="I67" s="52"/>
      <c r="J67" s="52"/>
      <c r="K67" s="52"/>
      <c r="L67" s="52"/>
      <c r="M67" s="52"/>
      <c r="N67" s="52"/>
      <c r="O67" s="52"/>
      <c r="P67" s="52"/>
      <c r="Q67" s="52"/>
      <c r="R67" s="52"/>
      <c r="S67" s="52"/>
      <c r="T67" s="52"/>
      <c r="U67" s="52"/>
      <c r="V67" s="52"/>
      <c r="W67" s="52"/>
      <c r="X67" s="52"/>
    </row>
    <row r="68" spans="1:25" s="51" customFormat="1" ht="18" customHeight="1" x14ac:dyDescent="0.2">
      <c r="A68" s="52"/>
      <c r="B68" s="1417" t="s">
        <v>348</v>
      </c>
      <c r="C68" s="1418"/>
      <c r="D68" s="1418"/>
      <c r="E68" s="1418"/>
      <c r="F68" s="1418"/>
      <c r="G68" s="1418"/>
      <c r="H68" s="1418"/>
      <c r="I68" s="1418"/>
      <c r="J68" s="1418"/>
      <c r="K68" s="1418"/>
      <c r="L68" s="1418"/>
      <c r="M68" s="1418"/>
      <c r="N68" s="1418"/>
      <c r="O68" s="1418"/>
      <c r="P68" s="1418"/>
      <c r="Q68" s="1418"/>
      <c r="R68" s="1418"/>
      <c r="S68" s="1418"/>
      <c r="T68" s="1418"/>
      <c r="U68" s="1418"/>
      <c r="V68" s="1418"/>
      <c r="W68" s="1419"/>
      <c r="X68" s="52"/>
      <c r="Y68" s="52"/>
    </row>
    <row r="69" spans="1:25" s="51" customFormat="1" ht="18" customHeight="1" x14ac:dyDescent="0.2">
      <c r="A69" s="52"/>
      <c r="B69" s="1417" t="s">
        <v>109</v>
      </c>
      <c r="C69" s="1434"/>
      <c r="D69" s="1434"/>
      <c r="E69" s="1434"/>
      <c r="F69" s="1434"/>
      <c r="G69" s="1434"/>
      <c r="H69" s="1434"/>
      <c r="I69" s="1434"/>
      <c r="J69" s="1434"/>
      <c r="K69" s="1430"/>
      <c r="L69" s="102"/>
      <c r="M69" s="1435" t="s">
        <v>804</v>
      </c>
      <c r="N69" s="1436"/>
      <c r="O69" s="1437"/>
      <c r="P69" s="1559" t="s">
        <v>805</v>
      </c>
      <c r="Q69" s="1620"/>
      <c r="R69" s="1620"/>
      <c r="S69" s="1621"/>
      <c r="T69" s="1559" t="s">
        <v>806</v>
      </c>
      <c r="U69" s="1620"/>
      <c r="V69" s="1620"/>
      <c r="W69" s="1621"/>
      <c r="X69" s="52"/>
      <c r="Y69" s="52"/>
    </row>
    <row r="70" spans="1:25" s="51" customFormat="1" ht="45" customHeight="1" x14ac:dyDescent="0.2">
      <c r="A70" s="52"/>
      <c r="B70" s="1479" t="s">
        <v>110</v>
      </c>
      <c r="C70" s="1480"/>
      <c r="D70" s="1480"/>
      <c r="E70" s="1429" t="s">
        <v>111</v>
      </c>
      <c r="F70" s="1430"/>
      <c r="G70" s="103"/>
      <c r="H70" s="1431" t="s">
        <v>114</v>
      </c>
      <c r="I70" s="1432"/>
      <c r="J70" s="1431" t="s">
        <v>115</v>
      </c>
      <c r="K70" s="1433"/>
      <c r="L70" s="102"/>
      <c r="M70" s="1438"/>
      <c r="N70" s="1438"/>
      <c r="O70" s="1439"/>
      <c r="P70" s="1622"/>
      <c r="Q70" s="1623"/>
      <c r="R70" s="1623"/>
      <c r="S70" s="1624"/>
      <c r="T70" s="1622"/>
      <c r="U70" s="1623"/>
      <c r="V70" s="1623"/>
      <c r="W70" s="1624"/>
      <c r="X70" s="52"/>
      <c r="Y70" s="52"/>
    </row>
    <row r="71" spans="1:25" s="51" customFormat="1" ht="18" customHeight="1" x14ac:dyDescent="0.2">
      <c r="A71" s="52"/>
      <c r="B71" s="1640">
        <f>ROUNDDOWN(SUMIFS(別紙２①!$F$18:$F$29,別紙２①!$E$18:$E$29,"田",別紙２①!$H$18:$H$29,"",別紙２①!$K$18:$K$29,"〇"),0)</f>
        <v>0</v>
      </c>
      <c r="C71" s="1640"/>
      <c r="D71" s="1640"/>
      <c r="E71" s="1440">
        <f>ROUNDDOWN(SUMIFS(別紙２①!$F$18:$F$29,別紙２①!$E$18:$E$29,"畑",別紙２①!$H$18:$H$29,"",別紙２①!$K$18:$K$29,"〇"),0)</f>
        <v>0</v>
      </c>
      <c r="F71" s="1441"/>
      <c r="G71" s="309"/>
      <c r="H71" s="1442"/>
      <c r="I71" s="1443"/>
      <c r="J71" s="1444"/>
      <c r="K71" s="1443"/>
      <c r="L71" s="310"/>
      <c r="M71" s="1617">
        <v>10000</v>
      </c>
      <c r="N71" s="1618"/>
      <c r="O71" s="1619"/>
      <c r="P71" s="1440">
        <f>ROUNDDOWN((B71+E71)*M71/1000,0)</f>
        <v>0</v>
      </c>
      <c r="Q71" s="1609"/>
      <c r="R71" s="1609"/>
      <c r="S71" s="1441"/>
      <c r="T71" s="1610">
        <f>SUM(P71:S72)</f>
        <v>0</v>
      </c>
      <c r="U71" s="1611"/>
      <c r="V71" s="1611"/>
      <c r="W71" s="1612"/>
      <c r="X71" s="52"/>
      <c r="Y71" s="52"/>
    </row>
    <row r="72" spans="1:25" s="51" customFormat="1" ht="18" customHeight="1" x14ac:dyDescent="0.2">
      <c r="A72" s="52"/>
      <c r="B72" s="1602"/>
      <c r="C72" s="1602"/>
      <c r="D72" s="1602"/>
      <c r="E72" s="1442"/>
      <c r="F72" s="1443"/>
      <c r="G72" s="309"/>
      <c r="H72" s="1603">
        <f>ROUNDDOWN(SUMIFS(別紙２①!$F$18:$F$29,別紙２①!$E$18:$E$29,"田",別紙２①!$H$18:$H$29,"〇",別紙２①!$K$18:$K$29,"〇"),0)</f>
        <v>0</v>
      </c>
      <c r="I72" s="1604"/>
      <c r="J72" s="1597">
        <f>ROUNDDOWN(SUMIFS(別紙２①!$F$18:$F$29,別紙２①!$E$18:$E$29,"畑",別紙２①!$H$18:$H$29,"〇",別紙２①!$K$18:$K$29,"〇"),0)</f>
        <v>0</v>
      </c>
      <c r="K72" s="1604"/>
      <c r="L72" s="311"/>
      <c r="M72" s="1605">
        <v>14000</v>
      </c>
      <c r="N72" s="1606"/>
      <c r="O72" s="1607"/>
      <c r="P72" s="1603">
        <f>ROUNDDOWN((H72+J72)*M72/1000,0)</f>
        <v>0</v>
      </c>
      <c r="Q72" s="1608"/>
      <c r="R72" s="1608"/>
      <c r="S72" s="1604"/>
      <c r="T72" s="1613"/>
      <c r="U72" s="1614"/>
      <c r="V72" s="1614"/>
      <c r="W72" s="1615"/>
      <c r="X72" s="52"/>
      <c r="Y72" s="52"/>
    </row>
    <row r="73" spans="1:25" s="51" customFormat="1" ht="16.149999999999999" customHeight="1" x14ac:dyDescent="0.2">
      <c r="A73" s="90"/>
      <c r="B73" s="1447" t="s">
        <v>801</v>
      </c>
      <c r="C73" s="1447"/>
      <c r="D73" s="1447"/>
      <c r="E73" s="1447"/>
      <c r="F73" s="1447"/>
      <c r="G73" s="1447"/>
      <c r="H73" s="1447"/>
      <c r="I73" s="1447"/>
      <c r="J73" s="1447"/>
      <c r="K73" s="1447"/>
      <c r="L73" s="1447"/>
      <c r="M73" s="1447"/>
      <c r="N73" s="1447"/>
      <c r="O73" s="1447"/>
      <c r="P73" s="1447"/>
      <c r="Q73" s="1447"/>
      <c r="R73" s="1447"/>
      <c r="S73" s="1447"/>
      <c r="T73" s="1447"/>
      <c r="U73" s="1447"/>
      <c r="V73" s="1447"/>
      <c r="W73" s="1447"/>
      <c r="X73" s="1447"/>
    </row>
    <row r="74" spans="1:25" s="51" customFormat="1" ht="16.149999999999999" customHeight="1" x14ac:dyDescent="0.2">
      <c r="A74" s="90"/>
      <c r="B74" s="1447" t="s">
        <v>802</v>
      </c>
      <c r="C74" s="1447"/>
      <c r="D74" s="1447"/>
      <c r="E74" s="1447"/>
      <c r="F74" s="1447"/>
      <c r="G74" s="1447"/>
      <c r="H74" s="1447"/>
      <c r="I74" s="1447"/>
      <c r="J74" s="1447"/>
      <c r="K74" s="1447"/>
      <c r="L74" s="1447"/>
      <c r="M74" s="1447"/>
      <c r="N74" s="1447"/>
      <c r="O74" s="1447"/>
      <c r="P74" s="1447"/>
      <c r="Q74" s="1447"/>
      <c r="R74" s="1447"/>
      <c r="S74" s="1447"/>
      <c r="T74" s="1447"/>
      <c r="U74" s="1447"/>
      <c r="V74" s="1447"/>
      <c r="W74" s="1447"/>
      <c r="X74" s="1447"/>
    </row>
    <row r="75" spans="1:25" s="51" customFormat="1" ht="12" customHeight="1" x14ac:dyDescent="0.2">
      <c r="A75" s="90"/>
      <c r="B75" s="52"/>
      <c r="C75" s="52"/>
      <c r="D75" s="52"/>
      <c r="E75" s="52"/>
      <c r="F75" s="52"/>
      <c r="G75" s="52"/>
      <c r="H75" s="52"/>
      <c r="I75" s="52"/>
      <c r="J75" s="52"/>
      <c r="K75" s="52"/>
      <c r="L75" s="52"/>
      <c r="M75" s="52"/>
      <c r="N75" s="52"/>
      <c r="O75" s="52"/>
      <c r="P75" s="52"/>
      <c r="Q75" s="52"/>
      <c r="R75" s="52"/>
      <c r="S75" s="52"/>
      <c r="T75" s="52"/>
      <c r="U75" s="52"/>
      <c r="V75" s="52"/>
      <c r="W75" s="52"/>
      <c r="X75" s="52"/>
    </row>
    <row r="76" spans="1:25" s="51" customFormat="1" ht="18" customHeight="1" x14ac:dyDescent="0.2">
      <c r="A76" s="90" t="s">
        <v>112</v>
      </c>
      <c r="B76" s="52"/>
      <c r="C76" s="52"/>
      <c r="D76" s="52"/>
      <c r="E76" s="52"/>
      <c r="F76" s="52"/>
      <c r="G76" s="52"/>
      <c r="H76" s="52"/>
      <c r="I76" s="52"/>
      <c r="J76" s="52"/>
      <c r="K76" s="52"/>
      <c r="L76" s="52"/>
      <c r="M76" s="52"/>
      <c r="N76" s="52"/>
      <c r="O76" s="52"/>
      <c r="P76" s="52"/>
      <c r="Q76" s="52"/>
      <c r="R76" s="52"/>
      <c r="S76" s="52"/>
      <c r="T76" s="52"/>
      <c r="U76" s="52"/>
      <c r="V76" s="52"/>
      <c r="W76" s="52"/>
      <c r="X76" s="52"/>
    </row>
    <row r="77" spans="1:25" s="51" customFormat="1" ht="18" customHeight="1" x14ac:dyDescent="0.2">
      <c r="A77" s="52"/>
      <c r="B77" s="1417" t="s">
        <v>113</v>
      </c>
      <c r="C77" s="1418"/>
      <c r="D77" s="1418"/>
      <c r="E77" s="1418"/>
      <c r="F77" s="1418"/>
      <c r="G77" s="1418"/>
      <c r="H77" s="1418"/>
      <c r="I77" s="1418"/>
      <c r="J77" s="1418"/>
      <c r="K77" s="1418"/>
      <c r="L77" s="1418"/>
      <c r="M77" s="1418"/>
      <c r="N77" s="1418"/>
      <c r="O77" s="1418"/>
      <c r="P77" s="1418"/>
      <c r="Q77" s="1418"/>
      <c r="R77" s="1418"/>
      <c r="S77" s="1418"/>
      <c r="T77" s="1418"/>
      <c r="U77" s="1418"/>
      <c r="V77" s="1418"/>
      <c r="W77" s="1419"/>
      <c r="X77" s="52"/>
      <c r="Y77" s="52"/>
    </row>
    <row r="78" spans="1:25" s="51" customFormat="1" ht="18" customHeight="1" x14ac:dyDescent="0.2">
      <c r="A78" s="52"/>
      <c r="B78" s="1480" t="s">
        <v>109</v>
      </c>
      <c r="C78" s="1480"/>
      <c r="D78" s="1480"/>
      <c r="E78" s="1480"/>
      <c r="F78" s="1480"/>
      <c r="G78" s="1480"/>
      <c r="H78" s="1480"/>
      <c r="I78" s="1559" t="s">
        <v>804</v>
      </c>
      <c r="J78" s="1562"/>
      <c r="K78" s="1562"/>
      <c r="L78" s="1562"/>
      <c r="M78" s="1563"/>
      <c r="N78" s="1628" t="s">
        <v>805</v>
      </c>
      <c r="O78" s="1517"/>
      <c r="P78" s="1517"/>
      <c r="Q78" s="1517"/>
      <c r="R78" s="1517"/>
      <c r="S78" s="1559" t="s">
        <v>806</v>
      </c>
      <c r="T78" s="1562"/>
      <c r="U78" s="1562"/>
      <c r="V78" s="1562"/>
      <c r="W78" s="1563"/>
      <c r="X78" s="52"/>
      <c r="Y78" s="52"/>
    </row>
    <row r="79" spans="1:25" s="51" customFormat="1" ht="36" customHeight="1" x14ac:dyDescent="0.2">
      <c r="A79" s="52"/>
      <c r="B79" s="1629" t="s">
        <v>114</v>
      </c>
      <c r="C79" s="1418"/>
      <c r="D79" s="1419"/>
      <c r="E79" s="1429" t="s">
        <v>115</v>
      </c>
      <c r="F79" s="1549"/>
      <c r="G79" s="1549"/>
      <c r="H79" s="1550"/>
      <c r="I79" s="1625"/>
      <c r="J79" s="1626"/>
      <c r="K79" s="1626"/>
      <c r="L79" s="1626"/>
      <c r="M79" s="1627"/>
      <c r="N79" s="1448"/>
      <c r="O79" s="1448"/>
      <c r="P79" s="1448"/>
      <c r="Q79" s="1448"/>
      <c r="R79" s="1448"/>
      <c r="S79" s="1569"/>
      <c r="T79" s="1570"/>
      <c r="U79" s="1570"/>
      <c r="V79" s="1570"/>
      <c r="W79" s="1571"/>
      <c r="X79" s="52"/>
      <c r="Y79" s="52"/>
    </row>
    <row r="80" spans="1:25" s="51" customFormat="1" ht="18" customHeight="1" x14ac:dyDescent="0.2">
      <c r="A80" s="52"/>
      <c r="B80" s="1423">
        <f>ROUNDDOWN(SUMIFS(別紙２①!$F$18:$F$29,別紙２①!$E$18:$E$29,"田",別紙２①!$L$18:$L$29,"〇"),0)</f>
        <v>2355</v>
      </c>
      <c r="C80" s="1423"/>
      <c r="D80" s="1423"/>
      <c r="E80" s="1423">
        <f>ROUNDDOWN(SUMIFS(別紙２①!$F$18:$F$29,別紙２①!$E$18:$E$29,"畑",別紙２①!$L$18:$L$29,"〇"),0)</f>
        <v>8180</v>
      </c>
      <c r="F80" s="1423"/>
      <c r="G80" s="1423"/>
      <c r="H80" s="1423"/>
      <c r="I80" s="1594">
        <v>6000</v>
      </c>
      <c r="J80" s="1595"/>
      <c r="K80" s="1595"/>
      <c r="L80" s="1595"/>
      <c r="M80" s="1595"/>
      <c r="N80" s="1596">
        <f>ROUNDDOWN((B80+E80)*I80/1000,0)</f>
        <v>63210</v>
      </c>
      <c r="O80" s="1596"/>
      <c r="P80" s="1596"/>
      <c r="Q80" s="1596"/>
      <c r="R80" s="1596"/>
      <c r="S80" s="1597">
        <f>N80</f>
        <v>63210</v>
      </c>
      <c r="T80" s="1598"/>
      <c r="U80" s="1598"/>
      <c r="V80" s="1598"/>
      <c r="W80" s="1599"/>
      <c r="X80" s="52"/>
      <c r="Y80" s="52"/>
    </row>
    <row r="81" spans="1:24" s="51" customFormat="1" ht="16.149999999999999" customHeight="1" x14ac:dyDescent="0.2">
      <c r="A81" s="90"/>
      <c r="B81" s="1447" t="s">
        <v>801</v>
      </c>
      <c r="C81" s="1447"/>
      <c r="D81" s="1447"/>
      <c r="E81" s="1447"/>
      <c r="F81" s="1447"/>
      <c r="G81" s="1447"/>
      <c r="H81" s="1447"/>
      <c r="I81" s="1447"/>
      <c r="J81" s="1447"/>
      <c r="K81" s="1447"/>
      <c r="L81" s="1447"/>
      <c r="M81" s="1447"/>
      <c r="N81" s="1447"/>
      <c r="O81" s="1447"/>
      <c r="P81" s="1447"/>
      <c r="Q81" s="1447"/>
      <c r="R81" s="1447"/>
      <c r="S81" s="1447"/>
      <c r="T81" s="1447"/>
      <c r="U81" s="1447"/>
      <c r="V81" s="1447"/>
      <c r="W81" s="1447"/>
      <c r="X81" s="1447"/>
    </row>
    <row r="82" spans="1:24" s="51" customFormat="1" ht="16.149999999999999" customHeight="1" x14ac:dyDescent="0.2">
      <c r="A82" s="90"/>
      <c r="B82" s="1447" t="s">
        <v>802</v>
      </c>
      <c r="C82" s="1447"/>
      <c r="D82" s="1447"/>
      <c r="E82" s="1447"/>
      <c r="F82" s="1447"/>
      <c r="G82" s="1447"/>
      <c r="H82" s="1447"/>
      <c r="I82" s="1447"/>
      <c r="J82" s="1447"/>
      <c r="K82" s="1447"/>
      <c r="L82" s="1447"/>
      <c r="M82" s="1447"/>
      <c r="N82" s="1447"/>
      <c r="O82" s="1447"/>
      <c r="P82" s="1447"/>
      <c r="Q82" s="1447"/>
      <c r="R82" s="1447"/>
      <c r="S82" s="1447"/>
      <c r="T82" s="1447"/>
      <c r="U82" s="1447"/>
      <c r="V82" s="1447"/>
      <c r="W82" s="1447"/>
      <c r="X82" s="1447"/>
    </row>
    <row r="83" spans="1:24" s="51" customFormat="1" ht="18" customHeight="1" x14ac:dyDescent="0.2">
      <c r="A83" s="90"/>
      <c r="B83" s="52"/>
      <c r="C83" s="52"/>
      <c r="D83" s="52"/>
      <c r="E83" s="52"/>
      <c r="F83" s="52"/>
      <c r="G83" s="52"/>
      <c r="H83" s="52"/>
      <c r="I83" s="52"/>
      <c r="J83" s="52"/>
      <c r="K83" s="52"/>
      <c r="L83" s="52"/>
      <c r="M83" s="52"/>
      <c r="N83" s="52"/>
      <c r="O83" s="52"/>
      <c r="P83" s="52"/>
      <c r="Q83" s="52"/>
      <c r="R83" s="52"/>
      <c r="S83" s="52"/>
      <c r="T83" s="52"/>
      <c r="U83" s="52"/>
      <c r="V83" s="52"/>
      <c r="W83" s="52"/>
      <c r="X83" s="52"/>
    </row>
    <row r="84" spans="1:24" s="51" customFormat="1" ht="18" customHeight="1" x14ac:dyDescent="0.2">
      <c r="A84" s="90" t="s">
        <v>803</v>
      </c>
      <c r="B84" s="52"/>
      <c r="C84" s="52"/>
      <c r="D84" s="52"/>
      <c r="E84" s="52"/>
      <c r="F84" s="52"/>
      <c r="G84" s="52"/>
      <c r="H84" s="52"/>
      <c r="I84" s="52"/>
      <c r="J84" s="52"/>
      <c r="K84" s="52"/>
      <c r="L84" s="52"/>
      <c r="M84" s="52"/>
      <c r="N84" s="52"/>
      <c r="O84" s="52"/>
      <c r="P84" s="52"/>
      <c r="Q84" s="52"/>
      <c r="R84" s="52"/>
      <c r="S84" s="52"/>
      <c r="T84" s="52"/>
      <c r="U84" s="52"/>
      <c r="V84" s="52"/>
      <c r="W84" s="52"/>
      <c r="X84" s="52"/>
    </row>
    <row r="85" spans="1:24" s="51" customFormat="1" ht="18" customHeight="1" x14ac:dyDescent="0.2">
      <c r="A85" s="52"/>
      <c r="B85" s="1417" t="s">
        <v>808</v>
      </c>
      <c r="C85" s="1418"/>
      <c r="D85" s="1418"/>
      <c r="E85" s="1418"/>
      <c r="F85" s="1418"/>
      <c r="G85" s="1418"/>
      <c r="H85" s="1418"/>
      <c r="I85" s="1418"/>
      <c r="J85" s="1418"/>
      <c r="K85" s="1418"/>
      <c r="L85" s="1418"/>
      <c r="M85" s="1418"/>
      <c r="N85" s="1418"/>
      <c r="O85" s="1418"/>
      <c r="P85" s="1418"/>
      <c r="Q85" s="1418"/>
      <c r="R85" s="1418"/>
      <c r="S85" s="1418"/>
      <c r="T85" s="1418"/>
      <c r="U85" s="242"/>
      <c r="V85" s="243"/>
      <c r="W85" s="243"/>
      <c r="X85" s="52"/>
    </row>
    <row r="86" spans="1:24" s="51" customFormat="1" ht="18" customHeight="1" x14ac:dyDescent="0.2">
      <c r="A86" s="52"/>
      <c r="B86" s="1565" t="s">
        <v>109</v>
      </c>
      <c r="C86" s="1566"/>
      <c r="D86" s="1566"/>
      <c r="E86" s="1566"/>
      <c r="F86" s="1566"/>
      <c r="G86" s="1566"/>
      <c r="H86" s="1566"/>
      <c r="I86" s="1566"/>
      <c r="J86" s="1567"/>
      <c r="K86" s="1559" t="s">
        <v>812</v>
      </c>
      <c r="L86" s="1568"/>
      <c r="M86" s="1563"/>
      <c r="N86" s="1559" t="s">
        <v>805</v>
      </c>
      <c r="O86" s="1560"/>
      <c r="P86" s="1559" t="s">
        <v>813</v>
      </c>
      <c r="Q86" s="1568"/>
      <c r="R86" s="1563"/>
      <c r="S86" s="1600" t="s">
        <v>814</v>
      </c>
      <c r="T86" s="1559"/>
      <c r="U86" s="244"/>
      <c r="V86" s="245"/>
      <c r="W86" s="54"/>
      <c r="X86" s="52"/>
    </row>
    <row r="87" spans="1:24" s="51" customFormat="1" ht="36" customHeight="1" x14ac:dyDescent="0.2">
      <c r="A87" s="52"/>
      <c r="B87" s="1557" t="s">
        <v>99</v>
      </c>
      <c r="C87" s="1558"/>
      <c r="D87" s="1559" t="s">
        <v>116</v>
      </c>
      <c r="E87" s="1560"/>
      <c r="F87" s="1561" t="s">
        <v>100</v>
      </c>
      <c r="G87" s="1562"/>
      <c r="H87" s="1563"/>
      <c r="I87" s="1559" t="s">
        <v>101</v>
      </c>
      <c r="J87" s="1560"/>
      <c r="K87" s="1569"/>
      <c r="L87" s="1570"/>
      <c r="M87" s="1571"/>
      <c r="N87" s="1572"/>
      <c r="O87" s="1573"/>
      <c r="P87" s="1569"/>
      <c r="Q87" s="1570"/>
      <c r="R87" s="1571"/>
      <c r="S87" s="1601"/>
      <c r="T87" s="1572"/>
      <c r="U87" s="246"/>
      <c r="V87" s="54"/>
      <c r="W87" s="54"/>
      <c r="X87" s="52"/>
    </row>
    <row r="88" spans="1:24" s="51" customFormat="1" ht="18" customHeight="1" x14ac:dyDescent="0.2">
      <c r="A88" s="52"/>
      <c r="B88" s="1577">
        <v>45000</v>
      </c>
      <c r="C88" s="1578"/>
      <c r="D88" s="1577">
        <v>5000</v>
      </c>
      <c r="E88" s="1578"/>
      <c r="F88" s="1577"/>
      <c r="G88" s="1579"/>
      <c r="H88" s="1578"/>
      <c r="I88" s="1577"/>
      <c r="J88" s="1578"/>
      <c r="K88" s="1551">
        <v>10000</v>
      </c>
      <c r="L88" s="1552"/>
      <c r="M88" s="1553"/>
      <c r="N88" s="1445">
        <f>ROUNDDOWN((B88+D88+F88+I88)*K88/1000,0)</f>
        <v>500000</v>
      </c>
      <c r="O88" s="1446"/>
      <c r="P88" s="1585">
        <f>N88+N89+N90</f>
        <v>1000000</v>
      </c>
      <c r="Q88" s="1586"/>
      <c r="R88" s="1587"/>
      <c r="S88" s="1449">
        <f>IF(P88&lt;U88,P88,U88)</f>
        <v>1000000</v>
      </c>
      <c r="T88" s="1450"/>
      <c r="U88" s="249">
        <v>1000000</v>
      </c>
      <c r="V88" s="248"/>
      <c r="W88" s="248"/>
      <c r="X88" s="52"/>
    </row>
    <row r="89" spans="1:24" s="51" customFormat="1" ht="18" customHeight="1" x14ac:dyDescent="0.2">
      <c r="A89" s="52"/>
      <c r="B89" s="1577">
        <v>50000</v>
      </c>
      <c r="C89" s="1578"/>
      <c r="D89" s="1577"/>
      <c r="E89" s="1578"/>
      <c r="F89" s="1577"/>
      <c r="G89" s="1579"/>
      <c r="H89" s="1578"/>
      <c r="I89" s="1580"/>
      <c r="J89" s="1581"/>
      <c r="K89" s="1582">
        <v>4000</v>
      </c>
      <c r="L89" s="1583"/>
      <c r="M89" s="1584"/>
      <c r="N89" s="1445">
        <f>ROUNDDOWN((B89+D89+F89+I89)*K89/1000,0)</f>
        <v>200000</v>
      </c>
      <c r="O89" s="1446"/>
      <c r="P89" s="1588"/>
      <c r="Q89" s="1589"/>
      <c r="R89" s="1590"/>
      <c r="S89" s="1451"/>
      <c r="T89" s="1452"/>
      <c r="U89" s="247"/>
      <c r="V89" s="248"/>
      <c r="W89" s="248"/>
      <c r="X89" s="52"/>
    </row>
    <row r="90" spans="1:24" s="51" customFormat="1" ht="18" customHeight="1" x14ac:dyDescent="0.2">
      <c r="A90" s="52"/>
      <c r="B90" s="1577">
        <v>300000</v>
      </c>
      <c r="C90" s="1578"/>
      <c r="D90" s="1577"/>
      <c r="E90" s="1578"/>
      <c r="F90" s="1577"/>
      <c r="G90" s="1579"/>
      <c r="H90" s="1578"/>
      <c r="I90" s="1580"/>
      <c r="J90" s="1581"/>
      <c r="K90" s="1582">
        <v>1000</v>
      </c>
      <c r="L90" s="1583"/>
      <c r="M90" s="1584"/>
      <c r="N90" s="1445">
        <f>ROUNDDOWN((B90+D90+F90+I90)*K90/1000,0)</f>
        <v>300000</v>
      </c>
      <c r="O90" s="1446"/>
      <c r="P90" s="1591"/>
      <c r="Q90" s="1592"/>
      <c r="R90" s="1593"/>
      <c r="S90" s="1453"/>
      <c r="T90" s="1454"/>
      <c r="U90" s="247"/>
      <c r="V90" s="248"/>
      <c r="W90" s="248"/>
      <c r="X90" s="52"/>
    </row>
    <row r="91" spans="1:24" s="51" customFormat="1" ht="15" customHeight="1" x14ac:dyDescent="0.2">
      <c r="A91" s="90"/>
      <c r="B91" s="1447" t="s">
        <v>801</v>
      </c>
      <c r="C91" s="1447"/>
      <c r="D91" s="1447"/>
      <c r="E91" s="1447"/>
      <c r="F91" s="1447"/>
      <c r="G91" s="1447"/>
      <c r="H91" s="1447"/>
      <c r="I91" s="1447"/>
      <c r="J91" s="1447"/>
      <c r="K91" s="1447"/>
      <c r="L91" s="1447"/>
      <c r="M91" s="1447"/>
      <c r="N91" s="1447"/>
      <c r="O91" s="1447"/>
      <c r="P91" s="1447"/>
      <c r="Q91" s="1447"/>
      <c r="R91" s="1447"/>
      <c r="S91" s="1447"/>
      <c r="T91" s="1447"/>
      <c r="U91" s="1447"/>
      <c r="V91" s="1447"/>
      <c r="W91" s="1447"/>
      <c r="X91" s="1447"/>
    </row>
    <row r="92" spans="1:24" s="51" customFormat="1" ht="32.25" customHeight="1" x14ac:dyDescent="0.2">
      <c r="A92" s="90"/>
      <c r="B92" s="1447" t="s">
        <v>807</v>
      </c>
      <c r="C92" s="1447"/>
      <c r="D92" s="1447"/>
      <c r="E92" s="1447"/>
      <c r="F92" s="1447"/>
      <c r="G92" s="1447"/>
      <c r="H92" s="1447"/>
      <c r="I92" s="1447"/>
      <c r="J92" s="1447"/>
      <c r="K92" s="1447"/>
      <c r="L92" s="1447"/>
      <c r="M92" s="1447"/>
      <c r="N92" s="1447"/>
      <c r="O92" s="1447"/>
      <c r="P92" s="1447"/>
      <c r="Q92" s="1447"/>
      <c r="R92" s="1447"/>
      <c r="S92" s="1447"/>
      <c r="T92" s="1447"/>
      <c r="U92" s="1447"/>
      <c r="V92" s="1447"/>
      <c r="W92" s="1447"/>
      <c r="X92" s="1447"/>
    </row>
    <row r="93" spans="1:24" s="51" customFormat="1" ht="15" customHeight="1" x14ac:dyDescent="0.2">
      <c r="A93" s="90"/>
      <c r="B93" s="1447"/>
      <c r="C93" s="1447"/>
      <c r="D93" s="1447"/>
      <c r="E93" s="1447"/>
      <c r="F93" s="1447"/>
      <c r="G93" s="1447"/>
      <c r="H93" s="1447"/>
      <c r="I93" s="1447"/>
      <c r="J93" s="1447"/>
      <c r="K93" s="1447"/>
      <c r="L93" s="1447"/>
      <c r="M93" s="1447"/>
      <c r="N93" s="1447"/>
      <c r="O93" s="1447"/>
      <c r="P93" s="1447"/>
      <c r="Q93" s="1447"/>
      <c r="R93" s="1447"/>
      <c r="S93" s="1447"/>
      <c r="T93" s="1447"/>
      <c r="U93" s="1447"/>
      <c r="V93" s="1447"/>
      <c r="W93" s="1447"/>
      <c r="X93" s="1447"/>
    </row>
    <row r="94" spans="1:24" s="51" customFormat="1" ht="18" customHeight="1" x14ac:dyDescent="0.2">
      <c r="A94" s="90"/>
      <c r="B94" s="52"/>
      <c r="C94" s="52"/>
      <c r="D94" s="52"/>
      <c r="E94" s="52"/>
      <c r="F94" s="52"/>
      <c r="G94" s="52"/>
      <c r="H94" s="52"/>
      <c r="I94" s="52"/>
      <c r="J94" s="52"/>
      <c r="K94" s="52"/>
      <c r="L94" s="52"/>
      <c r="M94" s="52"/>
      <c r="N94" s="52"/>
      <c r="O94" s="52"/>
      <c r="P94" s="52"/>
      <c r="Q94" s="52"/>
      <c r="R94" s="52"/>
      <c r="S94" s="52"/>
      <c r="T94" s="52"/>
      <c r="U94" s="52"/>
      <c r="V94" s="52"/>
      <c r="W94" s="52"/>
      <c r="X94" s="52"/>
    </row>
    <row r="95" spans="1:24" s="51" customFormat="1" ht="18" customHeight="1" x14ac:dyDescent="0.2">
      <c r="A95" s="90" t="s">
        <v>815</v>
      </c>
      <c r="B95" s="52"/>
      <c r="C95" s="52"/>
      <c r="D95" s="52"/>
      <c r="E95" s="52"/>
      <c r="F95" s="52"/>
      <c r="G95" s="52"/>
      <c r="H95" s="52"/>
      <c r="I95" s="52"/>
      <c r="J95" s="52"/>
      <c r="K95" s="52"/>
      <c r="L95" s="52"/>
      <c r="M95" s="52"/>
      <c r="N95" s="52"/>
      <c r="O95" s="52"/>
      <c r="P95" s="52"/>
      <c r="Q95" s="52"/>
      <c r="R95" s="52"/>
      <c r="S95" s="52"/>
      <c r="T95" s="52"/>
      <c r="U95" s="52"/>
      <c r="V95" s="52"/>
      <c r="W95" s="52"/>
      <c r="X95" s="52"/>
    </row>
    <row r="96" spans="1:24" s="51" customFormat="1" ht="18" customHeight="1" x14ac:dyDescent="0.2">
      <c r="A96" s="90"/>
      <c r="B96" s="1448" t="s">
        <v>1071</v>
      </c>
      <c r="C96" s="1448"/>
      <c r="D96" s="1448"/>
      <c r="E96" s="1448"/>
      <c r="F96" s="1448"/>
      <c r="G96" s="104"/>
      <c r="H96" s="1448" t="s">
        <v>816</v>
      </c>
      <c r="I96" s="1448"/>
      <c r="J96" s="1448"/>
      <c r="K96" s="1410" t="s">
        <v>290</v>
      </c>
      <c r="L96" s="1410"/>
      <c r="M96" s="1410"/>
      <c r="N96" s="1410"/>
      <c r="O96" s="1410"/>
      <c r="P96" s="1410"/>
      <c r="Q96" s="1410"/>
      <c r="R96" s="1410"/>
      <c r="S96" s="52"/>
      <c r="T96" s="52"/>
      <c r="U96" s="52"/>
      <c r="V96" s="52"/>
      <c r="W96" s="52"/>
      <c r="X96" s="52"/>
    </row>
    <row r="97" spans="1:24" s="51" customFormat="1" ht="18" customHeight="1" x14ac:dyDescent="0.2">
      <c r="A97" s="90"/>
      <c r="B97" s="1408" t="s">
        <v>117</v>
      </c>
      <c r="C97" s="1408"/>
      <c r="D97" s="1408"/>
      <c r="E97" s="1408"/>
      <c r="F97" s="1408"/>
      <c r="G97" s="747"/>
      <c r="H97" s="1408"/>
      <c r="I97" s="1408"/>
      <c r="J97" s="1408"/>
      <c r="K97" s="1409">
        <v>20000</v>
      </c>
      <c r="L97" s="1409"/>
      <c r="M97" s="1409"/>
      <c r="N97" s="1409"/>
      <c r="O97" s="1409"/>
      <c r="P97" s="1409"/>
      <c r="Q97" s="1409"/>
      <c r="R97" s="1409"/>
      <c r="S97" s="52"/>
      <c r="T97" s="52"/>
      <c r="U97" s="52"/>
      <c r="V97" s="52"/>
      <c r="W97" s="52"/>
      <c r="X97" s="52"/>
    </row>
    <row r="98" spans="1:24" s="51" customFormat="1" ht="18" customHeight="1" x14ac:dyDescent="0.2">
      <c r="A98" s="90"/>
      <c r="B98" s="1408" t="s">
        <v>117</v>
      </c>
      <c r="C98" s="1408"/>
      <c r="D98" s="1408"/>
      <c r="E98" s="1408"/>
      <c r="F98" s="1408"/>
      <c r="G98" s="747"/>
      <c r="H98" s="1408"/>
      <c r="I98" s="1408"/>
      <c r="J98" s="1408"/>
      <c r="K98" s="1409">
        <v>100000</v>
      </c>
      <c r="L98" s="1409"/>
      <c r="M98" s="1409"/>
      <c r="N98" s="1409"/>
      <c r="O98" s="1409"/>
      <c r="P98" s="1409"/>
      <c r="Q98" s="1409"/>
      <c r="R98" s="1409"/>
      <c r="S98" s="52"/>
      <c r="T98" s="52"/>
      <c r="U98" s="52"/>
      <c r="V98" s="52"/>
      <c r="W98" s="52"/>
      <c r="X98" s="52"/>
    </row>
    <row r="99" spans="1:24" s="51" customFormat="1" ht="18" customHeight="1" x14ac:dyDescent="0.2">
      <c r="A99" s="90"/>
      <c r="B99" s="1408"/>
      <c r="C99" s="1408"/>
      <c r="D99" s="1408"/>
      <c r="E99" s="1408"/>
      <c r="F99" s="1408"/>
      <c r="G99" s="747"/>
      <c r="H99" s="1408"/>
      <c r="I99" s="1408"/>
      <c r="J99" s="1408"/>
      <c r="K99" s="1409"/>
      <c r="L99" s="1409"/>
      <c r="M99" s="1409"/>
      <c r="N99" s="1409"/>
      <c r="O99" s="1409"/>
      <c r="P99" s="1409"/>
      <c r="Q99" s="1409"/>
      <c r="R99" s="1409"/>
      <c r="S99" s="52"/>
      <c r="T99" s="52"/>
      <c r="U99" s="52"/>
      <c r="V99" s="52"/>
      <c r="W99" s="52"/>
      <c r="X99" s="52"/>
    </row>
    <row r="100" spans="1:24" s="51" customFormat="1" ht="18" customHeight="1" x14ac:dyDescent="0.2">
      <c r="A100" s="90"/>
      <c r="B100" s="1408"/>
      <c r="C100" s="1408"/>
      <c r="D100" s="1408"/>
      <c r="E100" s="1408"/>
      <c r="F100" s="1408"/>
      <c r="G100" s="747"/>
      <c r="H100" s="1408"/>
      <c r="I100" s="1408"/>
      <c r="J100" s="1408"/>
      <c r="K100" s="1409"/>
      <c r="L100" s="1409"/>
      <c r="M100" s="1409"/>
      <c r="N100" s="1409"/>
      <c r="O100" s="1409"/>
      <c r="P100" s="1409"/>
      <c r="Q100" s="1409"/>
      <c r="R100" s="1409"/>
      <c r="S100" s="52"/>
      <c r="T100" s="52"/>
      <c r="U100" s="52"/>
      <c r="V100" s="52"/>
      <c r="W100" s="52"/>
      <c r="X100" s="52"/>
    </row>
    <row r="101" spans="1:24" s="51" customFormat="1" ht="18" customHeight="1" x14ac:dyDescent="0.2">
      <c r="A101" s="90"/>
      <c r="B101" s="1408"/>
      <c r="C101" s="1408"/>
      <c r="D101" s="1408"/>
      <c r="E101" s="1408"/>
      <c r="F101" s="1408"/>
      <c r="G101" s="747"/>
      <c r="H101" s="1408"/>
      <c r="I101" s="1408"/>
      <c r="J101" s="1408"/>
      <c r="K101" s="1409"/>
      <c r="L101" s="1409"/>
      <c r="M101" s="1409"/>
      <c r="N101" s="1409"/>
      <c r="O101" s="1409"/>
      <c r="P101" s="1409"/>
      <c r="Q101" s="1409"/>
      <c r="R101" s="1409"/>
      <c r="S101" s="52"/>
      <c r="T101" s="52"/>
      <c r="U101" s="52"/>
      <c r="V101" s="52"/>
      <c r="W101" s="52"/>
      <c r="X101" s="52"/>
    </row>
    <row r="102" spans="1:24" s="51" customFormat="1" ht="18" customHeight="1" x14ac:dyDescent="0.2">
      <c r="A102" s="90"/>
      <c r="B102" s="1709" t="s">
        <v>1064</v>
      </c>
      <c r="C102" s="1710"/>
      <c r="D102" s="1710"/>
      <c r="E102" s="1710"/>
      <c r="F102" s="1710"/>
      <c r="G102" s="1710"/>
      <c r="H102" s="1710"/>
      <c r="I102" s="1710"/>
      <c r="J102" s="1710"/>
      <c r="K102" s="1710"/>
      <c r="L102" s="1710"/>
      <c r="M102" s="1710"/>
      <c r="N102" s="1710"/>
      <c r="O102" s="1710"/>
      <c r="P102" s="1710"/>
      <c r="Q102" s="1710"/>
      <c r="R102" s="1711"/>
      <c r="S102" s="52"/>
      <c r="T102" s="52"/>
      <c r="U102" s="52"/>
      <c r="V102" s="52"/>
      <c r="W102" s="52"/>
      <c r="X102" s="52"/>
    </row>
    <row r="103" spans="1:24" s="51" customFormat="1" ht="24" customHeight="1" x14ac:dyDescent="0.2">
      <c r="A103" s="90"/>
      <c r="B103" s="1414">
        <f>COUNTIFS($B$97:$H$101,"&lt;&gt;")</f>
        <v>2</v>
      </c>
      <c r="C103" s="1415"/>
      <c r="D103" s="1415"/>
      <c r="E103" s="1415"/>
      <c r="F103" s="1415"/>
      <c r="G103" s="1415"/>
      <c r="H103" s="1415"/>
      <c r="I103" s="1415"/>
      <c r="J103" s="1416"/>
      <c r="K103" s="1423">
        <f>SUM(K97:R101)</f>
        <v>120000</v>
      </c>
      <c r="L103" s="1423"/>
      <c r="M103" s="1423"/>
      <c r="N103" s="1423"/>
      <c r="O103" s="1423"/>
      <c r="P103" s="1423"/>
      <c r="Q103" s="1423"/>
      <c r="R103" s="1423"/>
      <c r="S103" s="52"/>
      <c r="T103" s="52"/>
      <c r="U103" s="52"/>
      <c r="V103" s="52"/>
      <c r="W103" s="52"/>
      <c r="X103" s="52"/>
    </row>
    <row r="104" spans="1:24" s="51" customFormat="1" ht="18" customHeight="1" x14ac:dyDescent="0.2">
      <c r="A104" s="90"/>
      <c r="B104" s="105"/>
      <c r="C104" s="52"/>
      <c r="D104" s="52"/>
      <c r="E104" s="52"/>
      <c r="F104" s="52"/>
      <c r="G104" s="52"/>
      <c r="H104" s="52"/>
      <c r="I104" s="52"/>
      <c r="J104" s="52"/>
      <c r="K104" s="52"/>
      <c r="L104" s="52"/>
      <c r="M104" s="52"/>
      <c r="N104" s="52"/>
      <c r="O104" s="52"/>
      <c r="P104" s="52"/>
      <c r="Q104" s="52"/>
      <c r="R104" s="52"/>
      <c r="S104" s="52"/>
      <c r="T104" s="52"/>
      <c r="U104" s="52"/>
      <c r="V104" s="52"/>
      <c r="W104" s="52"/>
      <c r="X104" s="52"/>
    </row>
    <row r="105" spans="1:24" s="51" customFormat="1" ht="18" customHeight="1" x14ac:dyDescent="0.2">
      <c r="A105" s="90"/>
      <c r="B105" s="52"/>
      <c r="C105" s="52"/>
      <c r="D105" s="52"/>
      <c r="E105" s="52"/>
      <c r="F105" s="52"/>
      <c r="G105" s="52"/>
      <c r="H105" s="52"/>
      <c r="I105" s="52"/>
      <c r="J105" s="52"/>
      <c r="K105" s="52"/>
      <c r="L105" s="52"/>
      <c r="M105" s="52"/>
      <c r="N105" s="52"/>
      <c r="O105" s="52"/>
      <c r="P105" s="52"/>
      <c r="Q105" s="52"/>
      <c r="R105" s="52"/>
      <c r="S105" s="52"/>
      <c r="T105" s="52"/>
      <c r="U105" s="52"/>
      <c r="V105" s="52"/>
      <c r="W105" s="52"/>
      <c r="X105" s="52"/>
    </row>
    <row r="106" spans="1:24" s="51" customFormat="1" ht="18" customHeight="1" x14ac:dyDescent="0.2">
      <c r="A106" s="90" t="s">
        <v>817</v>
      </c>
      <c r="B106" s="52"/>
      <c r="C106" s="52"/>
      <c r="D106" s="52"/>
      <c r="E106" s="52"/>
      <c r="F106" s="52"/>
      <c r="G106" s="52"/>
      <c r="H106" s="52"/>
      <c r="I106" s="52"/>
      <c r="J106" s="52"/>
      <c r="K106" s="52"/>
      <c r="L106" s="52"/>
      <c r="M106" s="52"/>
      <c r="N106" s="52"/>
      <c r="O106" s="52"/>
      <c r="P106" s="52"/>
      <c r="Q106" s="52"/>
      <c r="R106" s="52"/>
      <c r="S106" s="52"/>
      <c r="T106" s="52"/>
      <c r="U106" s="52"/>
      <c r="V106" s="52"/>
      <c r="W106" s="52"/>
      <c r="X106" s="52"/>
    </row>
    <row r="107" spans="1:24" s="51" customFormat="1" ht="18" customHeight="1" x14ac:dyDescent="0.2">
      <c r="A107" s="52"/>
      <c r="B107" s="1417" t="s">
        <v>818</v>
      </c>
      <c r="C107" s="1418"/>
      <c r="D107" s="1418"/>
      <c r="E107" s="1418"/>
      <c r="F107" s="1418"/>
      <c r="G107" s="1418"/>
      <c r="H107" s="1418"/>
      <c r="I107" s="1418"/>
      <c r="J107" s="1418"/>
      <c r="K107" s="1418"/>
      <c r="L107" s="1418"/>
      <c r="M107" s="1418"/>
      <c r="N107" s="1418"/>
      <c r="O107" s="1418"/>
      <c r="P107" s="1418"/>
      <c r="Q107" s="1418"/>
      <c r="R107" s="1418"/>
      <c r="S107" s="242"/>
      <c r="T107" s="243"/>
      <c r="U107" s="243"/>
      <c r="V107" s="243"/>
      <c r="W107" s="243"/>
      <c r="X107" s="52"/>
    </row>
    <row r="108" spans="1:24" s="51" customFormat="1" ht="18" customHeight="1" x14ac:dyDescent="0.2">
      <c r="A108" s="52"/>
      <c r="B108" s="1565" t="s">
        <v>109</v>
      </c>
      <c r="C108" s="1566"/>
      <c r="D108" s="1566"/>
      <c r="E108" s="1566"/>
      <c r="F108" s="1566"/>
      <c r="G108" s="1566"/>
      <c r="H108" s="1566"/>
      <c r="I108" s="1566"/>
      <c r="J108" s="1567"/>
      <c r="K108" s="1559" t="s">
        <v>812</v>
      </c>
      <c r="L108" s="1568"/>
      <c r="M108" s="1563"/>
      <c r="N108" s="1559" t="s">
        <v>805</v>
      </c>
      <c r="O108" s="1560"/>
      <c r="P108" s="1559" t="s">
        <v>820</v>
      </c>
      <c r="Q108" s="1568"/>
      <c r="R108" s="1562"/>
      <c r="S108" s="244"/>
      <c r="T108" s="245"/>
      <c r="U108" s="245"/>
      <c r="V108" s="245"/>
      <c r="W108" s="54"/>
      <c r="X108" s="52"/>
    </row>
    <row r="109" spans="1:24" s="51" customFormat="1" ht="36" customHeight="1" x14ac:dyDescent="0.2">
      <c r="A109" s="52"/>
      <c r="B109" s="1557" t="s">
        <v>99</v>
      </c>
      <c r="C109" s="1558"/>
      <c r="D109" s="1559" t="s">
        <v>116</v>
      </c>
      <c r="E109" s="1560"/>
      <c r="F109" s="1561" t="s">
        <v>100</v>
      </c>
      <c r="G109" s="1562"/>
      <c r="H109" s="1563"/>
      <c r="I109" s="1559" t="s">
        <v>101</v>
      </c>
      <c r="J109" s="1560"/>
      <c r="K109" s="1569"/>
      <c r="L109" s="1570"/>
      <c r="M109" s="1571"/>
      <c r="N109" s="1572"/>
      <c r="O109" s="1573"/>
      <c r="P109" s="1569"/>
      <c r="Q109" s="1570"/>
      <c r="R109" s="1570"/>
      <c r="S109" s="244"/>
      <c r="T109" s="245"/>
      <c r="U109" s="54"/>
      <c r="V109" s="54"/>
      <c r="W109" s="54"/>
      <c r="X109" s="52"/>
    </row>
    <row r="110" spans="1:24" s="51" customFormat="1" ht="18" customHeight="1" x14ac:dyDescent="0.2">
      <c r="A110" s="52"/>
      <c r="B110" s="1445">
        <f>ROUNDDOWN(SUMIFS(別紙２①!$F$18:$F$29,別紙２①!$E$18:$E$29,"田",別紙２①!$N$18:$N$29,"〇"),0)</f>
        <v>2355</v>
      </c>
      <c r="C110" s="1446"/>
      <c r="D110" s="1445">
        <f>ROUNDDOWN(SUMIFS(別紙２①!$F$18:$F$29,別紙２①!$E$18:$E$29,"畑",別紙２①!$N$18:$N$29,"〇"),0)</f>
        <v>8180</v>
      </c>
      <c r="E110" s="1446"/>
      <c r="F110" s="1445">
        <f>ROUNDDOWN(SUMIFS(別紙２①!$F$18:$F$29,別紙２①!$E$18:$E$29,"草地",別紙２①!$N$18:$N$29,"〇"),0)</f>
        <v>0</v>
      </c>
      <c r="G110" s="1564"/>
      <c r="H110" s="1446"/>
      <c r="I110" s="1445">
        <f>ROUNDDOWN(SUMIFS(別紙２①!$F$18:$F$29,別紙２①!$E$18:$E$29,"採草放牧地",別紙２①!$N$18:$N$29,"〇"),0)</f>
        <v>0</v>
      </c>
      <c r="J110" s="1446"/>
      <c r="K110" s="1574">
        <v>5000</v>
      </c>
      <c r="L110" s="1575"/>
      <c r="M110" s="1576"/>
      <c r="N110" s="1445">
        <f>ROUNDDOWN((B110+D110+F110+I110)*K110/1000,0)</f>
        <v>52675</v>
      </c>
      <c r="O110" s="1446"/>
      <c r="P110" s="1554">
        <f>IF(N110&lt;S110,N110,S110)</f>
        <v>52675</v>
      </c>
      <c r="Q110" s="1555"/>
      <c r="R110" s="1555"/>
      <c r="S110" s="251">
        <v>2000000</v>
      </c>
      <c r="T110" s="250"/>
      <c r="U110" s="248"/>
      <c r="V110" s="248"/>
      <c r="W110" s="248"/>
      <c r="X110" s="52"/>
    </row>
    <row r="111" spans="1:24" s="51" customFormat="1" ht="15" customHeight="1" x14ac:dyDescent="0.2">
      <c r="A111" s="90"/>
      <c r="B111" s="1447" t="s">
        <v>801</v>
      </c>
      <c r="C111" s="1447"/>
      <c r="D111" s="1447"/>
      <c r="E111" s="1447"/>
      <c r="F111" s="1447"/>
      <c r="G111" s="1447"/>
      <c r="H111" s="1447"/>
      <c r="I111" s="1447"/>
      <c r="J111" s="1447"/>
      <c r="K111" s="1447"/>
      <c r="L111" s="1447"/>
      <c r="M111" s="1447"/>
      <c r="N111" s="1447"/>
      <c r="O111" s="1447"/>
      <c r="P111" s="1447"/>
      <c r="Q111" s="1447"/>
      <c r="R111" s="1447"/>
      <c r="S111" s="1447"/>
      <c r="T111" s="1447"/>
      <c r="U111" s="1447"/>
      <c r="V111" s="1447"/>
      <c r="W111" s="1447"/>
      <c r="X111" s="1447"/>
    </row>
    <row r="112" spans="1:24" s="51" customFormat="1" ht="15" customHeight="1" x14ac:dyDescent="0.2">
      <c r="A112" s="90"/>
      <c r="B112" s="1447" t="s">
        <v>819</v>
      </c>
      <c r="C112" s="1447"/>
      <c r="D112" s="1447"/>
      <c r="E112" s="1447"/>
      <c r="F112" s="1447"/>
      <c r="G112" s="1447"/>
      <c r="H112" s="1447"/>
      <c r="I112" s="1447"/>
      <c r="J112" s="1447"/>
      <c r="K112" s="1447"/>
      <c r="L112" s="1447"/>
      <c r="M112" s="1447"/>
      <c r="N112" s="1447"/>
      <c r="O112" s="1447"/>
      <c r="P112" s="1447"/>
      <c r="Q112" s="1447"/>
      <c r="R112" s="1447"/>
      <c r="S112" s="1447"/>
      <c r="T112" s="1447"/>
      <c r="U112" s="1447"/>
      <c r="V112" s="1447"/>
      <c r="W112" s="1447"/>
      <c r="X112" s="1447"/>
    </row>
    <row r="113" spans="1:24" s="51" customFormat="1" ht="18" customHeight="1" x14ac:dyDescent="0.2">
      <c r="A113" s="90"/>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row>
    <row r="114" spans="1:24" s="51" customFormat="1" ht="18" customHeight="1" x14ac:dyDescent="0.2">
      <c r="A114" s="90"/>
      <c r="B114" s="52"/>
      <c r="C114" s="52"/>
      <c r="D114" s="52"/>
      <c r="E114" s="52"/>
      <c r="F114" s="52"/>
      <c r="G114" s="52"/>
      <c r="H114" s="52"/>
      <c r="I114" s="52"/>
      <c r="J114" s="52"/>
      <c r="K114" s="52"/>
      <c r="L114" s="52"/>
      <c r="M114" s="52"/>
      <c r="N114" s="52"/>
      <c r="O114" s="52"/>
      <c r="P114" s="52"/>
      <c r="Q114" s="52"/>
      <c r="R114" s="52"/>
      <c r="S114" s="52"/>
      <c r="T114" s="52"/>
      <c r="U114" s="52"/>
      <c r="V114" s="52"/>
      <c r="W114" s="52"/>
      <c r="X114" s="52"/>
    </row>
    <row r="115" spans="1:24" s="51" customFormat="1" ht="18" customHeight="1" x14ac:dyDescent="0.2">
      <c r="A115" s="90" t="s">
        <v>821</v>
      </c>
      <c r="B115" s="52"/>
      <c r="C115" s="52"/>
      <c r="D115" s="52"/>
      <c r="E115" s="52"/>
      <c r="F115" s="52"/>
      <c r="G115" s="52"/>
      <c r="H115" s="52"/>
      <c r="I115" s="52"/>
      <c r="J115" s="52"/>
      <c r="K115" s="52"/>
      <c r="L115" s="52"/>
      <c r="M115" s="52"/>
      <c r="N115" s="52"/>
      <c r="O115" s="52"/>
      <c r="P115" s="52"/>
      <c r="Q115" s="52"/>
      <c r="R115" s="52"/>
      <c r="S115" s="52"/>
      <c r="T115" s="52"/>
      <c r="U115" s="52"/>
      <c r="V115" s="52"/>
      <c r="W115" s="52"/>
      <c r="X115" s="52"/>
    </row>
    <row r="116" spans="1:24" s="51" customFormat="1" ht="18" customHeight="1" x14ac:dyDescent="0.2">
      <c r="A116" s="52"/>
      <c r="B116" s="1417" t="s">
        <v>823</v>
      </c>
      <c r="C116" s="1418"/>
      <c r="D116" s="1418"/>
      <c r="E116" s="1418"/>
      <c r="F116" s="1418"/>
      <c r="G116" s="1418"/>
      <c r="H116" s="1418"/>
      <c r="I116" s="1418"/>
      <c r="J116" s="1418"/>
      <c r="K116" s="1418"/>
      <c r="L116" s="1418"/>
      <c r="M116" s="1418"/>
      <c r="N116" s="1418"/>
      <c r="O116" s="1418"/>
      <c r="P116" s="1418"/>
      <c r="Q116" s="1418"/>
      <c r="R116" s="1419"/>
      <c r="S116" s="243"/>
      <c r="T116" s="243"/>
      <c r="U116" s="243"/>
      <c r="V116" s="243"/>
      <c r="W116" s="243"/>
      <c r="X116" s="52"/>
    </row>
    <row r="117" spans="1:24" s="51" customFormat="1" ht="18" customHeight="1" x14ac:dyDescent="0.2">
      <c r="A117" s="52"/>
      <c r="B117" s="1565" t="s">
        <v>109</v>
      </c>
      <c r="C117" s="1566"/>
      <c r="D117" s="1566"/>
      <c r="E117" s="1566"/>
      <c r="F117" s="1566"/>
      <c r="G117" s="1566"/>
      <c r="H117" s="1566"/>
      <c r="I117" s="1566"/>
      <c r="J117" s="1567"/>
      <c r="K117" s="1559" t="s">
        <v>812</v>
      </c>
      <c r="L117" s="1568"/>
      <c r="M117" s="1563"/>
      <c r="N117" s="1559" t="s">
        <v>805</v>
      </c>
      <c r="O117" s="1560"/>
      <c r="P117" s="1559" t="s">
        <v>820</v>
      </c>
      <c r="Q117" s="1568"/>
      <c r="R117" s="1563"/>
      <c r="S117" s="244"/>
      <c r="T117" s="245"/>
      <c r="U117" s="245"/>
      <c r="V117" s="245"/>
      <c r="W117" s="54"/>
      <c r="X117" s="52"/>
    </row>
    <row r="118" spans="1:24" s="51" customFormat="1" ht="36" customHeight="1" x14ac:dyDescent="0.2">
      <c r="A118" s="52"/>
      <c r="B118" s="1557" t="s">
        <v>99</v>
      </c>
      <c r="C118" s="1558"/>
      <c r="D118" s="1559" t="s">
        <v>116</v>
      </c>
      <c r="E118" s="1560"/>
      <c r="F118" s="1561" t="s">
        <v>100</v>
      </c>
      <c r="G118" s="1562"/>
      <c r="H118" s="1563"/>
      <c r="I118" s="1559" t="s">
        <v>101</v>
      </c>
      <c r="J118" s="1560"/>
      <c r="K118" s="1569"/>
      <c r="L118" s="1570"/>
      <c r="M118" s="1571"/>
      <c r="N118" s="1572"/>
      <c r="O118" s="1573"/>
      <c r="P118" s="1569"/>
      <c r="Q118" s="1570"/>
      <c r="R118" s="1571"/>
      <c r="S118" s="244"/>
      <c r="T118" s="245"/>
      <c r="U118" s="54"/>
      <c r="V118" s="54"/>
      <c r="W118" s="54"/>
      <c r="X118" s="52"/>
    </row>
    <row r="119" spans="1:24" s="51" customFormat="1" ht="18" customHeight="1" x14ac:dyDescent="0.2">
      <c r="A119" s="52"/>
      <c r="B119" s="1445">
        <f>ROUNDDOWN(SUMIFS(別紙２①!$F$18:$F$29,別紙２①!$E$18:$E$29,"田",別紙２①!$O$18:$O$29,"〇"),0)</f>
        <v>2355</v>
      </c>
      <c r="C119" s="1446"/>
      <c r="D119" s="1445">
        <f>ROUNDDOWN(SUMIFS(別紙２①!$F$18:$F$29,別紙２①!$E$18:$E$29,"畑",別紙２①!$O$18:$O$29,"〇"),0)</f>
        <v>8180</v>
      </c>
      <c r="E119" s="1446"/>
      <c r="F119" s="1445">
        <f>ROUNDDOWN(SUMIFS(別紙２①!$F$18:$F$29,別紙２①!$E$18:$E$29,"草地",別紙２①!$O$18:$O$29,"〇"),0)</f>
        <v>0</v>
      </c>
      <c r="G119" s="1564"/>
      <c r="H119" s="1446"/>
      <c r="I119" s="1445">
        <f>ROUNDDOWN(SUMIFS(別紙２①!$F$18:$F$29,別紙２①!$E$18:$E$29,"採草放牧地",別紙２①!$O$18:$O$29,"〇"),0)</f>
        <v>0</v>
      </c>
      <c r="J119" s="1446"/>
      <c r="K119" s="1551">
        <v>3000</v>
      </c>
      <c r="L119" s="1552"/>
      <c r="M119" s="1553"/>
      <c r="N119" s="1445">
        <f>ROUNDDOWN((B119+D119+F119+I119)*K119/1000,0)</f>
        <v>31605</v>
      </c>
      <c r="O119" s="1446"/>
      <c r="P119" s="1554">
        <f>IF(N119&lt;S119,N119,S119)</f>
        <v>31605</v>
      </c>
      <c r="Q119" s="1555"/>
      <c r="R119" s="1556"/>
      <c r="S119" s="251">
        <v>2000000</v>
      </c>
      <c r="T119" s="250"/>
      <c r="U119" s="248"/>
      <c r="V119" s="248"/>
      <c r="W119" s="248"/>
      <c r="X119" s="52"/>
    </row>
    <row r="120" spans="1:24" s="51" customFormat="1" ht="13.9" customHeight="1" x14ac:dyDescent="0.2">
      <c r="A120" s="90"/>
      <c r="B120" s="1447" t="s">
        <v>822</v>
      </c>
      <c r="C120" s="1447"/>
      <c r="D120" s="1447"/>
      <c r="E120" s="1447"/>
      <c r="F120" s="1447"/>
      <c r="G120" s="1447"/>
      <c r="H120" s="1447"/>
      <c r="I120" s="1447"/>
      <c r="J120" s="1447"/>
      <c r="K120" s="1447"/>
      <c r="L120" s="1447"/>
      <c r="M120" s="1447"/>
      <c r="N120" s="1447"/>
      <c r="O120" s="1447"/>
      <c r="P120" s="1447"/>
      <c r="Q120" s="1447"/>
      <c r="R120" s="1447"/>
      <c r="S120" s="1447"/>
      <c r="T120" s="1447"/>
      <c r="U120" s="1447"/>
      <c r="V120" s="1447"/>
      <c r="W120" s="1447"/>
      <c r="X120" s="1447"/>
    </row>
    <row r="121" spans="1:24" s="51" customFormat="1" ht="13.9" customHeight="1" x14ac:dyDescent="0.2">
      <c r="A121" s="90"/>
      <c r="B121" s="1447" t="s">
        <v>819</v>
      </c>
      <c r="C121" s="1447"/>
      <c r="D121" s="1447"/>
      <c r="E121" s="1447"/>
      <c r="F121" s="1447"/>
      <c r="G121" s="1447"/>
      <c r="H121" s="1447"/>
      <c r="I121" s="1447"/>
      <c r="J121" s="1447"/>
      <c r="K121" s="1447"/>
      <c r="L121" s="1447"/>
      <c r="M121" s="1447"/>
      <c r="N121" s="1447"/>
      <c r="O121" s="1447"/>
      <c r="P121" s="1447"/>
      <c r="Q121" s="1447"/>
      <c r="R121" s="1447"/>
      <c r="S121" s="1447"/>
      <c r="T121" s="1447"/>
      <c r="U121" s="1447"/>
      <c r="V121" s="1447"/>
      <c r="W121" s="1447"/>
      <c r="X121" s="1447"/>
    </row>
    <row r="122" spans="1:24" s="51" customFormat="1" ht="13.9" customHeight="1" x14ac:dyDescent="0.2">
      <c r="A122" s="90"/>
      <c r="B122" s="1447"/>
      <c r="C122" s="1447"/>
      <c r="D122" s="1447"/>
      <c r="E122" s="1447"/>
      <c r="F122" s="1447"/>
      <c r="G122" s="1447"/>
      <c r="H122" s="1447"/>
      <c r="I122" s="1447"/>
      <c r="J122" s="1447"/>
      <c r="K122" s="1447"/>
      <c r="L122" s="1447"/>
      <c r="M122" s="1447"/>
      <c r="N122" s="1447"/>
      <c r="O122" s="1447"/>
      <c r="P122" s="1447"/>
      <c r="Q122" s="1447"/>
      <c r="R122" s="1447"/>
      <c r="S122" s="1447"/>
      <c r="T122" s="1447"/>
      <c r="U122" s="1447"/>
      <c r="V122" s="1447"/>
      <c r="W122" s="1447"/>
      <c r="X122" s="1447"/>
    </row>
    <row r="123" spans="1:24" s="51" customFormat="1" ht="18" customHeight="1" x14ac:dyDescent="0.2">
      <c r="A123" s="90"/>
      <c r="B123" s="52"/>
      <c r="C123" s="52"/>
      <c r="D123" s="52"/>
      <c r="E123" s="52"/>
      <c r="F123" s="52"/>
      <c r="G123" s="52"/>
      <c r="H123" s="52"/>
      <c r="I123" s="52"/>
      <c r="J123" s="52"/>
      <c r="K123" s="52"/>
      <c r="L123" s="52"/>
      <c r="M123" s="52"/>
      <c r="N123" s="52"/>
      <c r="O123" s="52"/>
      <c r="P123" s="52"/>
      <c r="Q123" s="52"/>
      <c r="R123" s="52"/>
      <c r="S123" s="52"/>
      <c r="T123" s="52"/>
      <c r="U123" s="52"/>
      <c r="V123" s="52"/>
      <c r="W123" s="52"/>
      <c r="X123" s="52"/>
    </row>
    <row r="124" spans="1:24" s="51" customFormat="1" ht="18" customHeight="1" x14ac:dyDescent="0.2">
      <c r="A124" s="90"/>
      <c r="B124" s="52"/>
      <c r="C124" s="52"/>
      <c r="D124" s="52"/>
      <c r="E124" s="52"/>
      <c r="F124" s="52"/>
      <c r="G124" s="52"/>
      <c r="H124" s="52"/>
      <c r="I124" s="52"/>
      <c r="J124" s="52"/>
      <c r="K124" s="52"/>
      <c r="L124" s="52"/>
      <c r="M124" s="52"/>
      <c r="N124" s="52"/>
      <c r="O124" s="52"/>
      <c r="P124" s="52"/>
      <c r="Q124" s="52"/>
      <c r="R124" s="52"/>
      <c r="S124" s="52"/>
      <c r="T124" s="52"/>
      <c r="U124" s="52"/>
      <c r="V124" s="52"/>
      <c r="W124" s="52"/>
      <c r="X124" s="52"/>
    </row>
    <row r="125" spans="1:24" s="51" customFormat="1" ht="18" customHeight="1" x14ac:dyDescent="0.2">
      <c r="A125" s="90" t="s">
        <v>315</v>
      </c>
      <c r="B125" s="52"/>
      <c r="C125" s="52"/>
      <c r="D125" s="52"/>
      <c r="E125" s="52"/>
      <c r="F125" s="52"/>
      <c r="G125" s="52"/>
      <c r="H125" s="52"/>
      <c r="I125" s="52"/>
      <c r="J125" s="52"/>
      <c r="K125" s="52"/>
      <c r="L125" s="52"/>
      <c r="M125" s="52"/>
      <c r="N125" s="52"/>
      <c r="O125" s="52"/>
      <c r="P125" s="52"/>
      <c r="Q125" s="52"/>
      <c r="R125" s="52"/>
      <c r="S125" s="52"/>
      <c r="T125" s="52"/>
      <c r="U125" s="52"/>
      <c r="V125" s="52"/>
      <c r="W125" s="52"/>
      <c r="X125" s="52"/>
    </row>
    <row r="126" spans="1:24" s="51" customFormat="1" ht="18" customHeight="1" x14ac:dyDescent="0.2">
      <c r="A126" s="90" t="s">
        <v>118</v>
      </c>
      <c r="B126" s="52"/>
      <c r="C126" s="52"/>
      <c r="D126" s="52"/>
      <c r="E126" s="52"/>
      <c r="F126" s="52"/>
      <c r="G126" s="52"/>
      <c r="H126" s="52"/>
      <c r="I126" s="52"/>
      <c r="J126" s="52"/>
      <c r="K126" s="52"/>
      <c r="L126" s="52"/>
      <c r="M126" s="52"/>
      <c r="N126" s="52"/>
      <c r="O126" s="52"/>
      <c r="P126" s="52"/>
      <c r="Q126" s="52"/>
      <c r="R126" s="52"/>
      <c r="S126" s="52"/>
      <c r="T126" s="52"/>
      <c r="U126" s="52"/>
      <c r="V126" s="52"/>
      <c r="W126" s="52"/>
      <c r="X126" s="52"/>
    </row>
    <row r="127" spans="1:24" s="51" customFormat="1" ht="18" customHeight="1" x14ac:dyDescent="0.2">
      <c r="A127" s="90"/>
      <c r="B127" s="52" t="s">
        <v>119</v>
      </c>
      <c r="C127" s="52"/>
      <c r="D127" s="52"/>
      <c r="E127" s="52"/>
      <c r="F127" s="52"/>
      <c r="G127" s="52"/>
      <c r="H127" s="52"/>
      <c r="I127" s="52"/>
      <c r="J127" s="52"/>
      <c r="K127" s="52"/>
      <c r="L127" s="52"/>
      <c r="M127" s="52"/>
      <c r="N127" s="52"/>
      <c r="O127" s="52"/>
      <c r="P127" s="52"/>
      <c r="Q127" s="52"/>
      <c r="R127" s="52"/>
      <c r="S127" s="52"/>
      <c r="T127" s="52"/>
      <c r="U127" s="52"/>
      <c r="V127" s="52"/>
      <c r="W127" s="52"/>
      <c r="X127" s="52"/>
    </row>
    <row r="128" spans="1:24" s="51" customFormat="1" ht="12" customHeight="1" x14ac:dyDescent="0.2">
      <c r="A128" s="90"/>
      <c r="B128" s="52"/>
      <c r="C128" s="52"/>
      <c r="D128" s="52"/>
      <c r="E128" s="52"/>
      <c r="F128" s="52"/>
      <c r="G128" s="52"/>
      <c r="H128" s="52"/>
      <c r="I128" s="52"/>
      <c r="J128" s="52"/>
      <c r="K128" s="52"/>
      <c r="L128" s="52"/>
      <c r="M128" s="52"/>
      <c r="N128" s="52"/>
      <c r="O128" s="52"/>
      <c r="P128" s="52"/>
      <c r="Q128" s="52"/>
      <c r="R128" s="52"/>
      <c r="S128" s="52"/>
      <c r="T128" s="52"/>
      <c r="U128" s="52"/>
      <c r="V128" s="52"/>
      <c r="W128" s="52"/>
      <c r="X128" s="52"/>
    </row>
    <row r="129" spans="1:25" s="51" customFormat="1" ht="18" customHeight="1" x14ac:dyDescent="0.2">
      <c r="A129" s="54"/>
      <c r="B129" s="1410"/>
      <c r="C129" s="1410"/>
      <c r="D129" s="1518" t="s">
        <v>120</v>
      </c>
      <c r="E129" s="1549"/>
      <c r="F129" s="1549"/>
      <c r="G129" s="1549"/>
      <c r="H129" s="1549"/>
      <c r="I129" s="1549"/>
      <c r="J129" s="1549"/>
      <c r="K129" s="1549"/>
      <c r="L129" s="1549"/>
      <c r="M129" s="1549"/>
      <c r="N129" s="1549"/>
      <c r="O129" s="1549"/>
      <c r="P129" s="1549"/>
      <c r="Q129" s="1549"/>
      <c r="R129" s="1549"/>
      <c r="S129" s="1549"/>
      <c r="T129" s="1549"/>
      <c r="U129" s="1549"/>
      <c r="V129" s="1549"/>
      <c r="W129" s="1549"/>
      <c r="X129" s="1550"/>
      <c r="Y129" s="54"/>
    </row>
    <row r="130" spans="1:25" s="51" customFormat="1" ht="36" customHeight="1" x14ac:dyDescent="0.2">
      <c r="A130" s="54"/>
      <c r="B130" s="1411" t="s">
        <v>96</v>
      </c>
      <c r="C130" s="1411"/>
      <c r="D130" s="1543" t="s">
        <v>121</v>
      </c>
      <c r="E130" s="1543"/>
      <c r="F130" s="1543"/>
      <c r="G130" s="1543"/>
      <c r="H130" s="1543"/>
      <c r="I130" s="1543"/>
      <c r="J130" s="1543"/>
      <c r="K130" s="1543"/>
      <c r="L130" s="1543"/>
      <c r="M130" s="1543"/>
      <c r="N130" s="1543"/>
      <c r="O130" s="1543"/>
      <c r="P130" s="1543"/>
      <c r="Q130" s="1543"/>
      <c r="R130" s="1543"/>
      <c r="S130" s="1543"/>
      <c r="T130" s="1543"/>
      <c r="U130" s="1543"/>
      <c r="V130" s="1543"/>
      <c r="W130" s="1543"/>
      <c r="X130" s="1544"/>
      <c r="Y130" s="54"/>
    </row>
    <row r="131" spans="1:25" s="51" customFormat="1" ht="36" customHeight="1" x14ac:dyDescent="0.2">
      <c r="A131" s="54"/>
      <c r="B131" s="1411" t="s">
        <v>96</v>
      </c>
      <c r="C131" s="1411"/>
      <c r="D131" s="1543" t="s">
        <v>122</v>
      </c>
      <c r="E131" s="1543"/>
      <c r="F131" s="1543"/>
      <c r="G131" s="1543"/>
      <c r="H131" s="1543"/>
      <c r="I131" s="1543"/>
      <c r="J131" s="1543"/>
      <c r="K131" s="1543"/>
      <c r="L131" s="1543"/>
      <c r="M131" s="1543"/>
      <c r="N131" s="1543"/>
      <c r="O131" s="1543"/>
      <c r="P131" s="1543"/>
      <c r="Q131" s="1543"/>
      <c r="R131" s="1543"/>
      <c r="S131" s="1543"/>
      <c r="T131" s="1543"/>
      <c r="U131" s="1543"/>
      <c r="V131" s="1543"/>
      <c r="W131" s="1543"/>
      <c r="X131" s="1544"/>
      <c r="Y131" s="54"/>
    </row>
    <row r="132" spans="1:25" s="51" customFormat="1" ht="36" customHeight="1" x14ac:dyDescent="0.2">
      <c r="A132" s="54"/>
      <c r="B132" s="1411"/>
      <c r="C132" s="1411"/>
      <c r="D132" s="1545" t="s">
        <v>123</v>
      </c>
      <c r="E132" s="1545"/>
      <c r="F132" s="1545"/>
      <c r="G132" s="1545"/>
      <c r="H132" s="1545"/>
      <c r="I132" s="1545"/>
      <c r="J132" s="1545"/>
      <c r="K132" s="1545"/>
      <c r="L132" s="1545"/>
      <c r="M132" s="1545"/>
      <c r="N132" s="1545"/>
      <c r="O132" s="1545"/>
      <c r="P132" s="1545"/>
      <c r="Q132" s="1545"/>
      <c r="R132" s="1545"/>
      <c r="S132" s="1545"/>
      <c r="T132" s="1545"/>
      <c r="U132" s="1545"/>
      <c r="V132" s="1545"/>
      <c r="W132" s="1545"/>
      <c r="X132" s="1536"/>
      <c r="Y132" s="54"/>
    </row>
    <row r="133" spans="1:25" s="51" customFormat="1" ht="21.75" customHeight="1" x14ac:dyDescent="0.2">
      <c r="A133" s="54"/>
      <c r="B133" s="1411"/>
      <c r="C133" s="1411"/>
      <c r="D133" s="1521" t="s">
        <v>2324</v>
      </c>
      <c r="E133" s="1541"/>
      <c r="F133" s="1541"/>
      <c r="G133" s="1541"/>
      <c r="H133" s="1541"/>
      <c r="I133" s="1541"/>
      <c r="J133" s="1541"/>
      <c r="K133" s="1541"/>
      <c r="L133" s="1541"/>
      <c r="M133" s="1541"/>
      <c r="N133" s="1541"/>
      <c r="O133" s="1541"/>
      <c r="P133" s="1541"/>
      <c r="Q133" s="1541"/>
      <c r="R133" s="1541"/>
      <c r="S133" s="1541"/>
      <c r="T133" s="1541"/>
      <c r="U133" s="1541"/>
      <c r="V133" s="1541"/>
      <c r="W133" s="1541"/>
      <c r="X133" s="1542"/>
      <c r="Y133" s="54"/>
    </row>
    <row r="134" spans="1:25" s="51" customFormat="1" ht="46.5" customHeight="1" x14ac:dyDescent="0.2">
      <c r="A134" s="90"/>
      <c r="B134" s="1411"/>
      <c r="C134" s="1411"/>
      <c r="D134" s="1546" t="s">
        <v>2325</v>
      </c>
      <c r="E134" s="1547"/>
      <c r="F134" s="1547"/>
      <c r="G134" s="1547"/>
      <c r="H134" s="1547"/>
      <c r="I134" s="1547"/>
      <c r="J134" s="1547"/>
      <c r="K134" s="1547"/>
      <c r="L134" s="1547"/>
      <c r="M134" s="1547"/>
      <c r="N134" s="1547"/>
      <c r="O134" s="1547"/>
      <c r="P134" s="1547"/>
      <c r="Q134" s="1547"/>
      <c r="R134" s="1547"/>
      <c r="S134" s="1547"/>
      <c r="T134" s="1547"/>
      <c r="U134" s="1547"/>
      <c r="V134" s="1547"/>
      <c r="W134" s="1547"/>
      <c r="X134" s="1548"/>
    </row>
    <row r="135" spans="1:25" s="51" customFormat="1" ht="18" customHeight="1" x14ac:dyDescent="0.2">
      <c r="A135" s="90"/>
      <c r="B135" s="105" t="s">
        <v>124</v>
      </c>
      <c r="C135" s="52"/>
      <c r="D135" s="52"/>
      <c r="E135" s="52"/>
      <c r="F135" s="52"/>
      <c r="G135" s="52"/>
      <c r="H135" s="52"/>
      <c r="I135" s="52"/>
      <c r="J135" s="52"/>
      <c r="K135" s="52"/>
      <c r="L135" s="52"/>
      <c r="M135" s="52"/>
      <c r="N135" s="52"/>
      <c r="O135" s="52"/>
      <c r="P135" s="52"/>
      <c r="Q135" s="52"/>
      <c r="R135" s="52"/>
      <c r="S135" s="52"/>
      <c r="T135" s="52"/>
      <c r="U135" s="52"/>
      <c r="V135" s="52"/>
      <c r="W135" s="52"/>
      <c r="X135" s="52"/>
    </row>
    <row r="136" spans="1:25" s="51" customFormat="1" ht="37.5" customHeight="1" x14ac:dyDescent="0.2">
      <c r="A136" s="724"/>
      <c r="B136" s="968" t="s">
        <v>125</v>
      </c>
      <c r="C136" s="968"/>
      <c r="D136" s="968"/>
      <c r="E136" s="968"/>
      <c r="F136" s="968"/>
      <c r="G136" s="968"/>
      <c r="H136" s="968"/>
      <c r="I136" s="968"/>
      <c r="J136" s="968"/>
      <c r="K136" s="968"/>
      <c r="L136" s="968"/>
      <c r="M136" s="968"/>
      <c r="N136" s="968"/>
      <c r="O136" s="968"/>
      <c r="P136" s="968"/>
      <c r="Q136" s="968"/>
      <c r="R136" s="968"/>
      <c r="S136" s="968"/>
      <c r="T136" s="968"/>
      <c r="U136" s="968"/>
      <c r="V136" s="968"/>
      <c r="W136" s="968"/>
      <c r="X136" s="968"/>
    </row>
    <row r="137" spans="1:25" s="51" customFormat="1" ht="36" customHeight="1" x14ac:dyDescent="0.2">
      <c r="A137" s="90"/>
      <c r="B137" s="1506" t="s">
        <v>126</v>
      </c>
      <c r="C137" s="1506"/>
      <c r="D137" s="1506"/>
      <c r="E137" s="1506"/>
      <c r="F137" s="1506"/>
      <c r="G137" s="1506"/>
      <c r="H137" s="1506"/>
      <c r="I137" s="1506"/>
      <c r="J137" s="1506"/>
      <c r="K137" s="1506"/>
      <c r="L137" s="1506"/>
      <c r="M137" s="1506"/>
      <c r="N137" s="1506"/>
      <c r="O137" s="1506"/>
      <c r="P137" s="1506"/>
      <c r="Q137" s="1506"/>
      <c r="R137" s="1506"/>
      <c r="S137" s="1506"/>
      <c r="T137" s="1506"/>
      <c r="U137" s="1506"/>
      <c r="V137" s="1506"/>
      <c r="W137" s="1506"/>
      <c r="X137" s="1506"/>
    </row>
    <row r="138" spans="1:25" s="51" customFormat="1" ht="18" customHeight="1" x14ac:dyDescent="0.2">
      <c r="A138" s="90"/>
      <c r="B138" s="1448" t="s">
        <v>127</v>
      </c>
      <c r="C138" s="1448"/>
      <c r="D138" s="1517"/>
      <c r="E138" s="1517"/>
      <c r="F138" s="1517"/>
      <c r="G138" s="1517"/>
      <c r="H138" s="1517"/>
      <c r="I138" s="1517"/>
      <c r="J138" s="1517"/>
      <c r="K138" s="1517"/>
      <c r="L138" s="1517"/>
      <c r="M138" s="1517"/>
      <c r="N138" s="1448" t="s">
        <v>128</v>
      </c>
      <c r="O138" s="1448"/>
      <c r="P138" s="1448"/>
      <c r="Q138" s="1448"/>
      <c r="R138" s="1448"/>
      <c r="S138" s="1448"/>
      <c r="T138" s="1448"/>
      <c r="U138" s="1448"/>
      <c r="V138" s="1448"/>
      <c r="W138" s="1448"/>
      <c r="X138" s="107"/>
    </row>
    <row r="139" spans="1:25" s="51" customFormat="1" ht="36" customHeight="1" x14ac:dyDescent="0.2">
      <c r="A139" s="90"/>
      <c r="B139" s="1411" t="s">
        <v>96</v>
      </c>
      <c r="C139" s="1411"/>
      <c r="D139" s="1536" t="s">
        <v>129</v>
      </c>
      <c r="E139" s="1537"/>
      <c r="F139" s="1537"/>
      <c r="G139" s="1537"/>
      <c r="H139" s="1537"/>
      <c r="I139" s="1537"/>
      <c r="J139" s="1537"/>
      <c r="K139" s="1537"/>
      <c r="L139" s="1538"/>
      <c r="M139" s="1538"/>
      <c r="N139" s="1539" t="s">
        <v>2369</v>
      </c>
      <c r="O139" s="1539"/>
      <c r="P139" s="1539"/>
      <c r="Q139" s="1539"/>
      <c r="R139" s="1539"/>
      <c r="S139" s="1539"/>
      <c r="T139" s="1539"/>
      <c r="U139" s="1539"/>
      <c r="V139" s="1539"/>
      <c r="W139" s="1539"/>
      <c r="X139" s="52"/>
    </row>
    <row r="140" spans="1:25" s="51" customFormat="1" ht="36" customHeight="1" x14ac:dyDescent="0.2">
      <c r="A140" s="90"/>
      <c r="B140" s="1411"/>
      <c r="C140" s="1411"/>
      <c r="D140" s="1536" t="s">
        <v>130</v>
      </c>
      <c r="E140" s="1537"/>
      <c r="F140" s="1537"/>
      <c r="G140" s="1537"/>
      <c r="H140" s="1537"/>
      <c r="I140" s="1537"/>
      <c r="J140" s="1537"/>
      <c r="K140" s="1537"/>
      <c r="L140" s="1538"/>
      <c r="M140" s="1538"/>
      <c r="N140" s="1540"/>
      <c r="O140" s="1540"/>
      <c r="P140" s="1540"/>
      <c r="Q140" s="1540"/>
      <c r="R140" s="1540"/>
      <c r="S140" s="1540"/>
      <c r="T140" s="1540"/>
      <c r="U140" s="1540"/>
      <c r="V140" s="1540"/>
      <c r="W140" s="1540"/>
      <c r="X140" s="52"/>
    </row>
    <row r="141" spans="1:25" s="51" customFormat="1" ht="36" customHeight="1" x14ac:dyDescent="0.2">
      <c r="A141" s="90"/>
      <c r="B141" s="1411"/>
      <c r="C141" s="1411"/>
      <c r="D141" s="1536" t="s">
        <v>131</v>
      </c>
      <c r="E141" s="1537"/>
      <c r="F141" s="1537"/>
      <c r="G141" s="1537"/>
      <c r="H141" s="1537"/>
      <c r="I141" s="1537"/>
      <c r="J141" s="1537"/>
      <c r="K141" s="1537"/>
      <c r="L141" s="1538"/>
      <c r="M141" s="1538"/>
      <c r="N141" s="1540"/>
      <c r="O141" s="1540"/>
      <c r="P141" s="1540"/>
      <c r="Q141" s="1540"/>
      <c r="R141" s="1540"/>
      <c r="S141" s="1540"/>
      <c r="T141" s="1540"/>
      <c r="U141" s="1540"/>
      <c r="V141" s="1540"/>
      <c r="W141" s="1540"/>
      <c r="X141" s="52"/>
    </row>
    <row r="142" spans="1:25" s="51" customFormat="1" ht="36" customHeight="1" x14ac:dyDescent="0.2">
      <c r="A142" s="90"/>
      <c r="B142" s="1411"/>
      <c r="C142" s="1411"/>
      <c r="D142" s="1536" t="s">
        <v>132</v>
      </c>
      <c r="E142" s="1537"/>
      <c r="F142" s="1537"/>
      <c r="G142" s="1537"/>
      <c r="H142" s="1537"/>
      <c r="I142" s="1537"/>
      <c r="J142" s="1537"/>
      <c r="K142" s="1537"/>
      <c r="L142" s="1538"/>
      <c r="M142" s="1538"/>
      <c r="N142" s="1539"/>
      <c r="O142" s="1539"/>
      <c r="P142" s="1539"/>
      <c r="Q142" s="1539"/>
      <c r="R142" s="1539"/>
      <c r="S142" s="1539"/>
      <c r="T142" s="1539"/>
      <c r="U142" s="1539"/>
      <c r="V142" s="1539"/>
      <c r="W142" s="1539"/>
      <c r="X142" s="52"/>
    </row>
    <row r="143" spans="1:25" s="51" customFormat="1" ht="36" customHeight="1" x14ac:dyDescent="0.2">
      <c r="A143" s="90"/>
      <c r="B143" s="1411"/>
      <c r="C143" s="1411"/>
      <c r="D143" s="1536" t="s">
        <v>133</v>
      </c>
      <c r="E143" s="1537"/>
      <c r="F143" s="1537"/>
      <c r="G143" s="1537"/>
      <c r="H143" s="1537"/>
      <c r="I143" s="1537"/>
      <c r="J143" s="1537"/>
      <c r="K143" s="1537"/>
      <c r="L143" s="1538"/>
      <c r="M143" s="1538"/>
      <c r="N143" s="1540"/>
      <c r="O143" s="1540"/>
      <c r="P143" s="1540"/>
      <c r="Q143" s="1540"/>
      <c r="R143" s="1540"/>
      <c r="S143" s="1540"/>
      <c r="T143" s="1540"/>
      <c r="U143" s="1540"/>
      <c r="V143" s="1540"/>
      <c r="W143" s="1540"/>
      <c r="X143" s="52"/>
    </row>
    <row r="144" spans="1:25" s="51" customFormat="1" ht="36" customHeight="1" x14ac:dyDescent="0.2">
      <c r="A144" s="90"/>
      <c r="B144" s="1411"/>
      <c r="C144" s="1411"/>
      <c r="D144" s="1536" t="s">
        <v>134</v>
      </c>
      <c r="E144" s="1537"/>
      <c r="F144" s="1537"/>
      <c r="G144" s="1537"/>
      <c r="H144" s="1537"/>
      <c r="I144" s="1537"/>
      <c r="J144" s="1537"/>
      <c r="K144" s="1537"/>
      <c r="L144" s="1538"/>
      <c r="M144" s="1538"/>
      <c r="N144" s="1540"/>
      <c r="O144" s="1540"/>
      <c r="P144" s="1540"/>
      <c r="Q144" s="1540"/>
      <c r="R144" s="1540"/>
      <c r="S144" s="1540"/>
      <c r="T144" s="1540"/>
      <c r="U144" s="1540"/>
      <c r="V144" s="1540"/>
      <c r="W144" s="1540"/>
      <c r="X144" s="52"/>
    </row>
    <row r="145" spans="1:24" s="51" customFormat="1" ht="36" customHeight="1" x14ac:dyDescent="0.2">
      <c r="A145" s="90"/>
      <c r="B145" s="1411"/>
      <c r="C145" s="1411"/>
      <c r="D145" s="1536" t="s">
        <v>135</v>
      </c>
      <c r="E145" s="1537"/>
      <c r="F145" s="1537"/>
      <c r="G145" s="1537"/>
      <c r="H145" s="1537"/>
      <c r="I145" s="1537"/>
      <c r="J145" s="1537"/>
      <c r="K145" s="1537"/>
      <c r="L145" s="1538"/>
      <c r="M145" s="1538"/>
      <c r="N145" s="1540"/>
      <c r="O145" s="1540"/>
      <c r="P145" s="1540"/>
      <c r="Q145" s="1540"/>
      <c r="R145" s="1540"/>
      <c r="S145" s="1540"/>
      <c r="T145" s="1540"/>
      <c r="U145" s="1540"/>
      <c r="V145" s="1540"/>
      <c r="W145" s="1540"/>
      <c r="X145" s="52"/>
    </row>
    <row r="146" spans="1:24" s="51" customFormat="1" ht="36" customHeight="1" x14ac:dyDescent="0.2">
      <c r="A146" s="90"/>
      <c r="B146" s="1411" t="s">
        <v>96</v>
      </c>
      <c r="C146" s="1411"/>
      <c r="D146" s="1536" t="s">
        <v>136</v>
      </c>
      <c r="E146" s="1537"/>
      <c r="F146" s="1537"/>
      <c r="G146" s="1537"/>
      <c r="H146" s="1537"/>
      <c r="I146" s="1537"/>
      <c r="J146" s="1537"/>
      <c r="K146" s="1537"/>
      <c r="L146" s="1538"/>
      <c r="M146" s="1538"/>
      <c r="N146" s="1539" t="s">
        <v>355</v>
      </c>
      <c r="O146" s="1539"/>
      <c r="P146" s="1539"/>
      <c r="Q146" s="1539"/>
      <c r="R146" s="1539"/>
      <c r="S146" s="1539"/>
      <c r="T146" s="1539"/>
      <c r="U146" s="1539"/>
      <c r="V146" s="1539"/>
      <c r="W146" s="1539"/>
      <c r="X146" s="52"/>
    </row>
    <row r="147" spans="1:24" s="51" customFormat="1" ht="36" customHeight="1" x14ac:dyDescent="0.2">
      <c r="A147" s="90"/>
      <c r="B147" s="1411"/>
      <c r="C147" s="1411"/>
      <c r="D147" s="1536" t="s">
        <v>137</v>
      </c>
      <c r="E147" s="1537"/>
      <c r="F147" s="1537"/>
      <c r="G147" s="1537"/>
      <c r="H147" s="1537"/>
      <c r="I147" s="1537"/>
      <c r="J147" s="1537"/>
      <c r="K147" s="1537"/>
      <c r="L147" s="1538"/>
      <c r="M147" s="1538"/>
      <c r="N147" s="1540"/>
      <c r="O147" s="1540"/>
      <c r="P147" s="1540"/>
      <c r="Q147" s="1540"/>
      <c r="R147" s="1540"/>
      <c r="S147" s="1540"/>
      <c r="T147" s="1540"/>
      <c r="U147" s="1540"/>
      <c r="V147" s="1540"/>
      <c r="W147" s="1540"/>
      <c r="X147" s="52"/>
    </row>
    <row r="148" spans="1:24" s="51" customFormat="1" ht="21" customHeight="1" x14ac:dyDescent="0.2">
      <c r="A148" s="90"/>
      <c r="B148" s="1528"/>
      <c r="C148" s="1529"/>
      <c r="D148" s="1519" t="s">
        <v>2327</v>
      </c>
      <c r="E148" s="1520"/>
      <c r="F148" s="1520"/>
      <c r="G148" s="1520"/>
      <c r="H148" s="1520"/>
      <c r="I148" s="1520"/>
      <c r="J148" s="1520"/>
      <c r="K148" s="1520"/>
      <c r="L148" s="1521"/>
      <c r="M148" s="1521"/>
      <c r="N148" s="1522" t="s">
        <v>2328</v>
      </c>
      <c r="O148" s="1523"/>
      <c r="P148" s="1523"/>
      <c r="Q148" s="1523"/>
      <c r="R148" s="1523"/>
      <c r="S148" s="1523"/>
      <c r="T148" s="1523"/>
      <c r="U148" s="1523"/>
      <c r="V148" s="1523"/>
      <c r="W148" s="1523"/>
      <c r="X148" s="52"/>
    </row>
    <row r="149" spans="1:24" s="51" customFormat="1" ht="54" customHeight="1" x14ac:dyDescent="0.2">
      <c r="A149" s="90"/>
      <c r="B149" s="1530"/>
      <c r="C149" s="1531"/>
      <c r="D149" s="1532" t="s">
        <v>2326</v>
      </c>
      <c r="E149" s="1533"/>
      <c r="F149" s="1533"/>
      <c r="G149" s="1533"/>
      <c r="H149" s="1533"/>
      <c r="I149" s="1533"/>
      <c r="J149" s="1533"/>
      <c r="K149" s="1533"/>
      <c r="L149" s="1534"/>
      <c r="M149" s="1534"/>
      <c r="N149" s="1535"/>
      <c r="O149" s="1535"/>
      <c r="P149" s="1535"/>
      <c r="Q149" s="1535"/>
      <c r="R149" s="1535"/>
      <c r="S149" s="1535"/>
      <c r="T149" s="1535"/>
      <c r="U149" s="1535"/>
      <c r="V149" s="1535"/>
      <c r="W149" s="1535"/>
      <c r="X149" s="52"/>
    </row>
    <row r="150" spans="1:24" s="51" customFormat="1" ht="18" customHeight="1" x14ac:dyDescent="0.2">
      <c r="A150" s="90"/>
      <c r="B150" s="105" t="s">
        <v>138</v>
      </c>
      <c r="C150" s="52"/>
      <c r="D150" s="52"/>
      <c r="E150" s="52"/>
      <c r="F150" s="52"/>
      <c r="G150" s="52"/>
      <c r="H150" s="52"/>
      <c r="I150" s="52"/>
      <c r="J150" s="52"/>
      <c r="K150" s="52"/>
      <c r="L150" s="52"/>
      <c r="M150" s="52"/>
      <c r="N150" s="52"/>
      <c r="O150" s="52"/>
      <c r="P150" s="52"/>
      <c r="Q150" s="52"/>
      <c r="R150" s="52"/>
      <c r="S150" s="52"/>
      <c r="T150" s="52"/>
      <c r="U150" s="52"/>
      <c r="V150" s="52"/>
      <c r="W150" s="52"/>
      <c r="X150" s="52"/>
    </row>
    <row r="151" spans="1:24" s="51" customFormat="1" ht="18" customHeight="1" x14ac:dyDescent="0.2">
      <c r="A151" s="90"/>
      <c r="B151" s="52"/>
      <c r="C151" s="52"/>
      <c r="D151" s="52"/>
      <c r="E151" s="52"/>
      <c r="F151" s="52"/>
      <c r="G151" s="52"/>
      <c r="H151" s="52"/>
      <c r="I151" s="52"/>
      <c r="J151" s="52"/>
      <c r="K151" s="52"/>
      <c r="L151" s="52"/>
      <c r="M151" s="52"/>
      <c r="N151" s="52"/>
      <c r="O151" s="52"/>
      <c r="P151" s="52"/>
      <c r="Q151" s="52"/>
      <c r="R151" s="52"/>
      <c r="S151" s="52"/>
      <c r="T151" s="52"/>
      <c r="U151" s="52"/>
      <c r="V151" s="52"/>
      <c r="W151" s="52"/>
      <c r="X151" s="52"/>
    </row>
    <row r="152" spans="1:24" s="51" customFormat="1" ht="18" customHeight="1" x14ac:dyDescent="0.2">
      <c r="A152" s="90" t="s">
        <v>345</v>
      </c>
      <c r="B152" s="52"/>
      <c r="C152" s="52"/>
      <c r="D152" s="52"/>
      <c r="E152" s="52"/>
      <c r="F152" s="52"/>
      <c r="G152" s="52"/>
      <c r="H152" s="52"/>
      <c r="I152" s="52"/>
      <c r="J152" s="52"/>
      <c r="K152" s="52"/>
      <c r="L152" s="52"/>
      <c r="M152" s="52"/>
      <c r="N152" s="52"/>
      <c r="O152" s="52"/>
      <c r="P152" s="52"/>
      <c r="Q152" s="52"/>
      <c r="R152" s="52"/>
      <c r="S152" s="52"/>
      <c r="T152" s="52"/>
      <c r="U152" s="52"/>
      <c r="V152" s="52"/>
      <c r="W152" s="52"/>
      <c r="X152" s="52"/>
    </row>
    <row r="153" spans="1:24" s="51" customFormat="1" ht="18" customHeight="1" x14ac:dyDescent="0.2">
      <c r="A153" s="90" t="s">
        <v>139</v>
      </c>
      <c r="B153" s="52"/>
      <c r="C153" s="52"/>
      <c r="D153" s="52"/>
      <c r="E153" s="52"/>
      <c r="F153" s="52"/>
      <c r="G153" s="52"/>
      <c r="H153" s="52"/>
      <c r="I153" s="52"/>
      <c r="J153" s="52"/>
      <c r="K153" s="52"/>
      <c r="L153" s="52"/>
      <c r="M153" s="52"/>
      <c r="N153" s="52"/>
      <c r="O153" s="52"/>
      <c r="P153" s="52"/>
      <c r="Q153" s="52"/>
      <c r="R153" s="52"/>
      <c r="S153" s="52"/>
      <c r="T153" s="52"/>
      <c r="U153" s="52"/>
      <c r="V153" s="52"/>
      <c r="W153" s="52"/>
      <c r="X153" s="52"/>
    </row>
    <row r="154" spans="1:24" s="51" customFormat="1" ht="45.75" customHeight="1" thickBot="1" x14ac:dyDescent="0.25">
      <c r="A154" s="90"/>
      <c r="B154" s="1506" t="s">
        <v>140</v>
      </c>
      <c r="C154" s="1506"/>
      <c r="D154" s="1506"/>
      <c r="E154" s="1506"/>
      <c r="F154" s="1506"/>
      <c r="G154" s="1506"/>
      <c r="H154" s="1506"/>
      <c r="I154" s="1506"/>
      <c r="J154" s="1506"/>
      <c r="K154" s="1506"/>
      <c r="L154" s="1506"/>
      <c r="M154" s="1506"/>
      <c r="N154" s="1506"/>
      <c r="O154" s="1506"/>
      <c r="P154" s="1506"/>
      <c r="Q154" s="1506"/>
      <c r="R154" s="1506"/>
      <c r="S154" s="1506"/>
      <c r="T154" s="1506"/>
      <c r="U154" s="1506"/>
      <c r="V154" s="1506"/>
      <c r="W154" s="1506"/>
      <c r="X154" s="1506"/>
    </row>
    <row r="155" spans="1:24" s="53" customFormat="1" ht="36" customHeight="1" thickBot="1" x14ac:dyDescent="0.25">
      <c r="A155" s="1526" t="s">
        <v>1964</v>
      </c>
      <c r="B155" s="1527"/>
      <c r="C155" s="1524" t="s">
        <v>349</v>
      </c>
      <c r="D155" s="1524"/>
      <c r="E155" s="1524"/>
      <c r="F155" s="1524"/>
      <c r="G155" s="1524"/>
      <c r="H155" s="1524"/>
      <c r="I155" s="1524"/>
      <c r="J155" s="1524"/>
      <c r="K155" s="1524"/>
      <c r="L155" s="1524"/>
      <c r="M155" s="1524"/>
      <c r="N155" s="1524"/>
      <c r="O155" s="1524"/>
      <c r="P155" s="1524"/>
      <c r="Q155" s="1524"/>
      <c r="R155" s="1524"/>
      <c r="S155" s="1524"/>
      <c r="T155" s="1524"/>
      <c r="U155" s="1524"/>
      <c r="V155" s="1524"/>
      <c r="W155" s="1524"/>
      <c r="X155" s="1524"/>
    </row>
    <row r="156" spans="1:24" s="51" customFormat="1" ht="18" customHeight="1" x14ac:dyDescent="0.2">
      <c r="A156" s="1525" t="s">
        <v>95</v>
      </c>
      <c r="B156" s="1525"/>
      <c r="C156" s="1517" t="s">
        <v>141</v>
      </c>
      <c r="D156" s="1517"/>
      <c r="E156" s="1517"/>
      <c r="F156" s="1517"/>
      <c r="G156" s="1517"/>
      <c r="H156" s="1517"/>
      <c r="I156" s="1517"/>
      <c r="J156" s="1517"/>
      <c r="K156" s="1517"/>
      <c r="L156" s="1517"/>
      <c r="M156" s="1517"/>
      <c r="N156" s="1517"/>
      <c r="O156" s="1517"/>
      <c r="P156" s="1517"/>
      <c r="Q156" s="1517"/>
      <c r="R156" s="1517"/>
      <c r="S156" s="1517"/>
      <c r="T156" s="1517"/>
      <c r="U156" s="1517"/>
      <c r="V156" s="1517"/>
      <c r="W156" s="1517"/>
      <c r="X156" s="1517"/>
    </row>
    <row r="157" spans="1:24" s="51" customFormat="1" ht="36" customHeight="1" x14ac:dyDescent="0.2">
      <c r="A157" s="1411" t="s">
        <v>96</v>
      </c>
      <c r="B157" s="1411"/>
      <c r="C157" s="1412" t="s">
        <v>142</v>
      </c>
      <c r="D157" s="1413"/>
      <c r="E157" s="1413"/>
      <c r="F157" s="1413"/>
      <c r="G157" s="1413"/>
      <c r="H157" s="1413"/>
      <c r="I157" s="1413"/>
      <c r="J157" s="1413"/>
      <c r="K157" s="1413"/>
      <c r="L157" s="1413"/>
      <c r="M157" s="1413"/>
      <c r="N157" s="1413"/>
      <c r="O157" s="1413"/>
      <c r="P157" s="1413"/>
      <c r="Q157" s="1413"/>
      <c r="R157" s="1413"/>
      <c r="S157" s="1413"/>
      <c r="T157" s="1413"/>
      <c r="U157" s="1413"/>
      <c r="V157" s="1413"/>
      <c r="W157" s="1413"/>
      <c r="X157" s="1413"/>
    </row>
    <row r="158" spans="1:24" s="51" customFormat="1" ht="36" customHeight="1" x14ac:dyDescent="0.2">
      <c r="A158" s="1411"/>
      <c r="B158" s="1411"/>
      <c r="C158" s="1427" t="s">
        <v>827</v>
      </c>
      <c r="D158" s="1428"/>
      <c r="E158" s="1428"/>
      <c r="F158" s="1428"/>
      <c r="G158" s="1428"/>
      <c r="H158" s="1428"/>
      <c r="I158" s="1428"/>
      <c r="J158" s="1428"/>
      <c r="K158" s="1428"/>
      <c r="L158" s="1428"/>
      <c r="M158" s="1428"/>
      <c r="N158" s="1428"/>
      <c r="O158" s="1428"/>
      <c r="P158" s="1428"/>
      <c r="Q158" s="1428"/>
      <c r="R158" s="1428"/>
      <c r="S158" s="1428"/>
      <c r="T158" s="1428"/>
      <c r="U158" s="1428"/>
      <c r="V158" s="1428"/>
      <c r="W158" s="1428"/>
      <c r="X158" s="1428"/>
    </row>
    <row r="159" spans="1:24" s="51" customFormat="1" ht="36" customHeight="1" x14ac:dyDescent="0.2">
      <c r="A159" s="1411"/>
      <c r="B159" s="1411"/>
      <c r="C159" s="1412" t="s">
        <v>317</v>
      </c>
      <c r="D159" s="1413"/>
      <c r="E159" s="1413"/>
      <c r="F159" s="1413"/>
      <c r="G159" s="1413"/>
      <c r="H159" s="1413"/>
      <c r="I159" s="1413"/>
      <c r="J159" s="1413"/>
      <c r="K159" s="1413"/>
      <c r="L159" s="1413"/>
      <c r="M159" s="1413"/>
      <c r="N159" s="1413"/>
      <c r="O159" s="1413"/>
      <c r="P159" s="1413"/>
      <c r="Q159" s="1413"/>
      <c r="R159" s="1413"/>
      <c r="S159" s="1413"/>
      <c r="T159" s="1413"/>
      <c r="U159" s="1413"/>
      <c r="V159" s="1413"/>
      <c r="W159" s="1413"/>
      <c r="X159" s="1413"/>
    </row>
    <row r="160" spans="1:24" s="51" customFormat="1" ht="36" customHeight="1" x14ac:dyDescent="0.2">
      <c r="A160" s="1411"/>
      <c r="B160" s="1411"/>
      <c r="C160" s="1412" t="s">
        <v>318</v>
      </c>
      <c r="D160" s="1413"/>
      <c r="E160" s="1413"/>
      <c r="F160" s="1413"/>
      <c r="G160" s="1413"/>
      <c r="H160" s="1413"/>
      <c r="I160" s="1413"/>
      <c r="J160" s="1413"/>
      <c r="K160" s="1413"/>
      <c r="L160" s="1413"/>
      <c r="M160" s="1413"/>
      <c r="N160" s="1413"/>
      <c r="O160" s="1413"/>
      <c r="P160" s="1413"/>
      <c r="Q160" s="1413"/>
      <c r="R160" s="1413"/>
      <c r="S160" s="1413"/>
      <c r="T160" s="1413"/>
      <c r="U160" s="1413"/>
      <c r="V160" s="1413"/>
      <c r="W160" s="1413"/>
      <c r="X160" s="1413"/>
    </row>
    <row r="161" spans="1:24" s="51" customFormat="1" ht="36" customHeight="1" x14ac:dyDescent="0.2">
      <c r="A161" s="1411" t="s">
        <v>96</v>
      </c>
      <c r="B161" s="1411"/>
      <c r="C161" s="1412" t="s">
        <v>319</v>
      </c>
      <c r="D161" s="1413"/>
      <c r="E161" s="1413"/>
      <c r="F161" s="1413"/>
      <c r="G161" s="1413"/>
      <c r="H161" s="1413"/>
      <c r="I161" s="1413"/>
      <c r="J161" s="1413"/>
      <c r="K161" s="1413"/>
      <c r="L161" s="1413"/>
      <c r="M161" s="1413"/>
      <c r="N161" s="1413"/>
      <c r="O161" s="1413"/>
      <c r="P161" s="1413"/>
      <c r="Q161" s="1413"/>
      <c r="R161" s="1413"/>
      <c r="S161" s="1413"/>
      <c r="T161" s="1413"/>
      <c r="U161" s="1413"/>
      <c r="V161" s="1413"/>
      <c r="W161" s="1413"/>
      <c r="X161" s="1413"/>
    </row>
    <row r="162" spans="1:24" s="51" customFormat="1" ht="36" customHeight="1" x14ac:dyDescent="0.2">
      <c r="A162" s="1411"/>
      <c r="B162" s="1411"/>
      <c r="C162" s="1412" t="s">
        <v>828</v>
      </c>
      <c r="D162" s="1413"/>
      <c r="E162" s="1413"/>
      <c r="F162" s="1413"/>
      <c r="G162" s="1413"/>
      <c r="H162" s="1413"/>
      <c r="I162" s="1413"/>
      <c r="J162" s="1413"/>
      <c r="K162" s="1413"/>
      <c r="L162" s="1413"/>
      <c r="M162" s="1413"/>
      <c r="N162" s="1413"/>
      <c r="O162" s="1413"/>
      <c r="P162" s="1413"/>
      <c r="Q162" s="1413"/>
      <c r="R162" s="1413"/>
      <c r="S162" s="1413"/>
      <c r="T162" s="1413"/>
      <c r="U162" s="1413"/>
      <c r="V162" s="1413"/>
      <c r="W162" s="1413"/>
      <c r="X162" s="1413"/>
    </row>
    <row r="163" spans="1:24" s="51" customFormat="1" ht="39.6" customHeight="1" x14ac:dyDescent="0.2">
      <c r="A163" s="1411"/>
      <c r="B163" s="1411"/>
      <c r="C163" s="1412" t="s">
        <v>829</v>
      </c>
      <c r="D163" s="1413"/>
      <c r="E163" s="1413"/>
      <c r="F163" s="1413"/>
      <c r="G163" s="1413"/>
      <c r="H163" s="1413"/>
      <c r="I163" s="1413"/>
      <c r="J163" s="1413"/>
      <c r="K163" s="1413"/>
      <c r="L163" s="1413"/>
      <c r="M163" s="1413"/>
      <c r="N163" s="1413"/>
      <c r="O163" s="1413"/>
      <c r="P163" s="1413"/>
      <c r="Q163" s="1413"/>
      <c r="R163" s="1413"/>
      <c r="S163" s="1413"/>
      <c r="T163" s="1413"/>
      <c r="U163" s="1413"/>
      <c r="V163" s="1413"/>
      <c r="W163" s="1413"/>
      <c r="X163" s="1413"/>
    </row>
    <row r="164" spans="1:24" s="51" customFormat="1" ht="36" customHeight="1" x14ac:dyDescent="0.2">
      <c r="A164" s="1411"/>
      <c r="B164" s="1411"/>
      <c r="C164" s="1412" t="s">
        <v>830</v>
      </c>
      <c r="D164" s="1413"/>
      <c r="E164" s="1413"/>
      <c r="F164" s="1413"/>
      <c r="G164" s="1413"/>
      <c r="H164" s="1413"/>
      <c r="I164" s="1413"/>
      <c r="J164" s="1413"/>
      <c r="K164" s="1413"/>
      <c r="L164" s="1413"/>
      <c r="M164" s="1413"/>
      <c r="N164" s="1413"/>
      <c r="O164" s="1413"/>
      <c r="P164" s="1413"/>
      <c r="Q164" s="1413"/>
      <c r="R164" s="1413"/>
      <c r="S164" s="1413"/>
      <c r="T164" s="1413"/>
      <c r="U164" s="1413"/>
      <c r="V164" s="1413"/>
      <c r="W164" s="1413"/>
      <c r="X164" s="1413"/>
    </row>
    <row r="165" spans="1:24" s="51" customFormat="1" ht="36" customHeight="1" x14ac:dyDescent="0.2">
      <c r="A165" s="1411"/>
      <c r="B165" s="1411"/>
      <c r="C165" s="1427" t="s">
        <v>831</v>
      </c>
      <c r="D165" s="1428"/>
      <c r="E165" s="1428"/>
      <c r="F165" s="1428"/>
      <c r="G165" s="1428"/>
      <c r="H165" s="1428"/>
      <c r="I165" s="1428"/>
      <c r="J165" s="1428"/>
      <c r="K165" s="1428"/>
      <c r="L165" s="1428"/>
      <c r="M165" s="1428"/>
      <c r="N165" s="1428"/>
      <c r="O165" s="1428"/>
      <c r="P165" s="1428"/>
      <c r="Q165" s="1428"/>
      <c r="R165" s="1428"/>
      <c r="S165" s="1428"/>
      <c r="T165" s="1428"/>
      <c r="U165" s="1428"/>
      <c r="V165" s="1428"/>
      <c r="W165" s="1428"/>
      <c r="X165" s="1428"/>
    </row>
    <row r="166" spans="1:24" s="51" customFormat="1" ht="18" customHeight="1" x14ac:dyDescent="0.2">
      <c r="A166" s="90"/>
      <c r="B166" s="52"/>
      <c r="C166" s="52"/>
      <c r="D166" s="52"/>
      <c r="E166" s="52"/>
      <c r="F166" s="52"/>
      <c r="G166" s="52"/>
      <c r="H166" s="52"/>
      <c r="I166" s="52"/>
      <c r="J166" s="52"/>
      <c r="K166" s="52"/>
      <c r="L166" s="52"/>
      <c r="M166" s="52"/>
      <c r="N166" s="52"/>
      <c r="O166" s="52"/>
      <c r="P166" s="52"/>
      <c r="Q166" s="52"/>
      <c r="R166" s="52"/>
      <c r="S166" s="52"/>
      <c r="T166" s="52"/>
      <c r="U166" s="52"/>
      <c r="V166" s="52"/>
      <c r="W166" s="52"/>
      <c r="X166" s="52"/>
    </row>
    <row r="167" spans="1:24" s="51" customFormat="1" ht="18" customHeight="1" x14ac:dyDescent="0.2">
      <c r="A167" s="90" t="s">
        <v>143</v>
      </c>
      <c r="B167" s="52"/>
      <c r="C167" s="52"/>
      <c r="D167" s="52"/>
      <c r="E167" s="52"/>
      <c r="F167" s="52"/>
      <c r="G167" s="52"/>
      <c r="H167" s="52"/>
      <c r="I167" s="52"/>
      <c r="J167" s="52"/>
      <c r="K167" s="52"/>
      <c r="L167" s="52"/>
      <c r="M167" s="52"/>
      <c r="N167" s="52"/>
      <c r="O167" s="52"/>
      <c r="P167" s="52"/>
      <c r="Q167" s="52"/>
      <c r="R167" s="52"/>
      <c r="S167" s="52"/>
      <c r="T167" s="52"/>
      <c r="U167" s="52"/>
      <c r="V167" s="52"/>
      <c r="W167" s="52"/>
      <c r="X167" s="52"/>
    </row>
    <row r="168" spans="1:24" s="51" customFormat="1" ht="18" customHeight="1" x14ac:dyDescent="0.2">
      <c r="A168" s="1480" t="s">
        <v>141</v>
      </c>
      <c r="B168" s="1480"/>
      <c r="C168" s="1480"/>
      <c r="D168" s="1480"/>
      <c r="E168" s="1480"/>
      <c r="F168" s="1480"/>
      <c r="G168" s="1480"/>
      <c r="H168" s="1480"/>
      <c r="I168" s="1480"/>
      <c r="J168" s="1480"/>
      <c r="K168" s="1480"/>
      <c r="L168" s="1480"/>
      <c r="M168" s="1480"/>
      <c r="N168" s="1480"/>
      <c r="O168" s="1480"/>
      <c r="P168" s="1480"/>
      <c r="Q168" s="1480"/>
      <c r="R168" s="1480"/>
      <c r="S168" s="1480"/>
      <c r="T168" s="1480"/>
      <c r="U168" s="1480"/>
      <c r="V168" s="1480"/>
      <c r="W168" s="1480"/>
      <c r="X168" s="1480"/>
    </row>
    <row r="169" spans="1:24" s="51" customFormat="1" ht="18" customHeight="1" x14ac:dyDescent="0.2">
      <c r="A169" s="1712" t="s">
        <v>144</v>
      </c>
      <c r="B169" s="1712"/>
      <c r="C169" s="1712"/>
      <c r="D169" s="1673" t="s">
        <v>282</v>
      </c>
      <c r="E169" s="1674"/>
      <c r="F169" s="1674"/>
      <c r="G169" s="108"/>
      <c r="H169" s="1688" t="s">
        <v>96</v>
      </c>
      <c r="I169" s="1411"/>
      <c r="J169" s="1673" t="s">
        <v>283</v>
      </c>
      <c r="K169" s="1674"/>
      <c r="L169" s="1674"/>
      <c r="M169" s="1674"/>
      <c r="N169" s="1688" t="s">
        <v>96</v>
      </c>
      <c r="O169" s="1411"/>
      <c r="P169" s="1673" t="s">
        <v>2278</v>
      </c>
      <c r="Q169" s="1674"/>
      <c r="R169" s="1674"/>
      <c r="S169" s="1689"/>
      <c r="T169" s="1689"/>
      <c r="U169" s="1689"/>
      <c r="V169" s="1689"/>
      <c r="W169" s="1689"/>
      <c r="X169" s="812" t="s">
        <v>285</v>
      </c>
    </row>
    <row r="170" spans="1:24" s="51" customFormat="1" ht="18" customHeight="1" x14ac:dyDescent="0.2">
      <c r="A170" s="1712" t="s">
        <v>145</v>
      </c>
      <c r="B170" s="1712"/>
      <c r="C170" s="1712"/>
      <c r="D170" s="1673" t="s">
        <v>284</v>
      </c>
      <c r="E170" s="1674"/>
      <c r="F170" s="1674"/>
      <c r="G170" s="108"/>
      <c r="H170" s="1688" t="s">
        <v>96</v>
      </c>
      <c r="I170" s="1411"/>
      <c r="J170" s="1673" t="s">
        <v>283</v>
      </c>
      <c r="K170" s="1674"/>
      <c r="L170" s="1674"/>
      <c r="M170" s="1674"/>
      <c r="N170" s="1688"/>
      <c r="O170" s="1411"/>
      <c r="P170" s="1673" t="s">
        <v>2278</v>
      </c>
      <c r="Q170" s="1674"/>
      <c r="R170" s="1674"/>
      <c r="S170" s="1689"/>
      <c r="T170" s="1689"/>
      <c r="U170" s="1689"/>
      <c r="V170" s="1689"/>
      <c r="W170" s="1689"/>
      <c r="X170" s="812" t="s">
        <v>285</v>
      </c>
    </row>
    <row r="171" spans="1:24" s="51" customFormat="1" ht="18" customHeight="1" x14ac:dyDescent="0.2">
      <c r="A171" s="1712" t="s">
        <v>146</v>
      </c>
      <c r="B171" s="1712"/>
      <c r="C171" s="1712"/>
      <c r="D171" s="1539" t="s">
        <v>291</v>
      </c>
      <c r="E171" s="1539"/>
      <c r="F171" s="1539"/>
      <c r="G171" s="1539"/>
      <c r="H171" s="1539"/>
      <c r="I171" s="1539"/>
      <c r="J171" s="1539"/>
      <c r="K171" s="1539"/>
      <c r="L171" s="1539"/>
      <c r="M171" s="1539"/>
      <c r="N171" s="1539"/>
      <c r="O171" s="1539"/>
      <c r="P171" s="1539"/>
      <c r="Q171" s="1539"/>
      <c r="R171" s="1539"/>
      <c r="S171" s="1539"/>
      <c r="T171" s="1539"/>
      <c r="U171" s="1539"/>
      <c r="V171" s="1539"/>
      <c r="W171" s="1539"/>
      <c r="X171" s="1539"/>
    </row>
    <row r="172" spans="1:24" s="51" customFormat="1" ht="18" customHeight="1" x14ac:dyDescent="0.2">
      <c r="A172" s="90"/>
      <c r="B172" s="52"/>
      <c r="C172" s="52"/>
      <c r="D172" s="52"/>
      <c r="E172" s="52"/>
      <c r="F172" s="52"/>
      <c r="G172" s="52"/>
      <c r="H172" s="52"/>
      <c r="I172" s="52"/>
      <c r="J172" s="52"/>
      <c r="K172" s="52"/>
      <c r="L172" s="52"/>
      <c r="M172" s="52"/>
      <c r="N172" s="52"/>
      <c r="O172" s="52"/>
      <c r="P172" s="52"/>
      <c r="Q172" s="52"/>
      <c r="R172" s="52"/>
      <c r="S172" s="52"/>
      <c r="T172" s="52"/>
      <c r="U172" s="52"/>
      <c r="V172" s="52"/>
      <c r="W172" s="52"/>
      <c r="X172" s="52"/>
    </row>
    <row r="173" spans="1:24" s="51" customFormat="1" ht="18" customHeight="1" x14ac:dyDescent="0.2">
      <c r="A173" s="90"/>
      <c r="B173" s="52"/>
      <c r="C173" s="52"/>
      <c r="D173" s="52"/>
      <c r="E173" s="52"/>
      <c r="F173" s="52"/>
      <c r="G173" s="52"/>
      <c r="H173" s="52"/>
      <c r="I173" s="52"/>
      <c r="J173" s="52"/>
      <c r="K173" s="52"/>
      <c r="L173" s="52"/>
      <c r="M173" s="52"/>
      <c r="N173" s="52"/>
      <c r="O173" s="52"/>
      <c r="P173" s="52"/>
      <c r="Q173" s="52"/>
      <c r="R173" s="52"/>
      <c r="S173" s="52"/>
      <c r="T173" s="52"/>
      <c r="U173" s="52"/>
      <c r="V173" s="52"/>
      <c r="W173" s="52"/>
      <c r="X173" s="52"/>
    </row>
    <row r="174" spans="1:24" s="51" customFormat="1" ht="18" customHeight="1" x14ac:dyDescent="0.2">
      <c r="A174" s="90" t="s">
        <v>147</v>
      </c>
      <c r="B174" s="52"/>
      <c r="C174" s="52"/>
      <c r="D174" s="52"/>
      <c r="E174" s="52"/>
      <c r="F174" s="52"/>
      <c r="G174" s="52"/>
      <c r="H174" s="52"/>
      <c r="I174" s="52"/>
      <c r="J174" s="52"/>
      <c r="K174" s="52"/>
      <c r="L174" s="52"/>
      <c r="M174" s="52"/>
      <c r="N174" s="52"/>
      <c r="O174" s="52"/>
      <c r="P174" s="52"/>
      <c r="Q174" s="52"/>
      <c r="R174" s="52"/>
      <c r="S174" s="52"/>
      <c r="T174" s="52"/>
      <c r="U174" s="52"/>
      <c r="V174" s="52"/>
      <c r="W174" s="52"/>
      <c r="X174" s="52"/>
    </row>
    <row r="175" spans="1:24" s="51" customFormat="1" ht="18" customHeight="1" x14ac:dyDescent="0.2">
      <c r="A175" s="90"/>
      <c r="B175" s="52" t="s">
        <v>148</v>
      </c>
      <c r="C175" s="52"/>
      <c r="D175" s="52"/>
      <c r="E175" s="52"/>
      <c r="F175" s="52"/>
      <c r="G175" s="52"/>
      <c r="H175" s="52"/>
      <c r="I175" s="52"/>
      <c r="J175" s="52"/>
      <c r="K175" s="52"/>
      <c r="L175" s="52"/>
      <c r="M175" s="52"/>
      <c r="N175" s="52"/>
      <c r="O175" s="52"/>
      <c r="P175" s="52"/>
      <c r="Q175" s="52"/>
      <c r="R175" s="52"/>
      <c r="S175" s="52"/>
      <c r="T175" s="52"/>
      <c r="U175" s="52"/>
      <c r="V175" s="52"/>
      <c r="W175" s="52"/>
      <c r="X175" s="52"/>
    </row>
    <row r="176" spans="1:24" s="51" customFormat="1" ht="18" customHeight="1" x14ac:dyDescent="0.2">
      <c r="A176" s="1410" t="s">
        <v>95</v>
      </c>
      <c r="B176" s="1410"/>
      <c r="C176" s="1517" t="s">
        <v>141</v>
      </c>
      <c r="D176" s="1517"/>
      <c r="E176" s="1517"/>
      <c r="F176" s="1517"/>
      <c r="G176" s="1517"/>
      <c r="H176" s="1517"/>
      <c r="I176" s="1517"/>
      <c r="J176" s="1517"/>
      <c r="K176" s="1517"/>
      <c r="L176" s="1517"/>
      <c r="M176" s="1517"/>
      <c r="N176" s="1517"/>
      <c r="O176" s="1517"/>
      <c r="P176" s="1517"/>
      <c r="Q176" s="1517"/>
      <c r="R176" s="1517"/>
      <c r="S176" s="1517"/>
      <c r="T176" s="1517"/>
      <c r="U176" s="1517"/>
      <c r="V176" s="1517"/>
      <c r="W176" s="1517"/>
      <c r="X176" s="1517"/>
    </row>
    <row r="177" spans="1:24" s="51" customFormat="1" ht="36" customHeight="1" x14ac:dyDescent="0.2">
      <c r="A177" s="1411" t="s">
        <v>96</v>
      </c>
      <c r="B177" s="1411"/>
      <c r="C177" s="1412" t="s">
        <v>149</v>
      </c>
      <c r="D177" s="1413"/>
      <c r="E177" s="1413"/>
      <c r="F177" s="1413"/>
      <c r="G177" s="1413"/>
      <c r="H177" s="1413"/>
      <c r="I177" s="1413"/>
      <c r="J177" s="1413"/>
      <c r="K177" s="1413"/>
      <c r="L177" s="1413"/>
      <c r="M177" s="1413"/>
      <c r="N177" s="1413"/>
      <c r="O177" s="1413"/>
      <c r="P177" s="1413"/>
      <c r="Q177" s="1413"/>
      <c r="R177" s="1413"/>
      <c r="S177" s="1413"/>
      <c r="T177" s="1413"/>
      <c r="U177" s="1413"/>
      <c r="V177" s="1413"/>
      <c r="W177" s="1413"/>
      <c r="X177" s="1413"/>
    </row>
    <row r="178" spans="1:24" s="51" customFormat="1" ht="36" customHeight="1" x14ac:dyDescent="0.2">
      <c r="A178" s="1411"/>
      <c r="B178" s="1411"/>
      <c r="C178" s="1427" t="s">
        <v>320</v>
      </c>
      <c r="D178" s="1428"/>
      <c r="E178" s="1428"/>
      <c r="F178" s="1428"/>
      <c r="G178" s="1428"/>
      <c r="H178" s="1428"/>
      <c r="I178" s="1428"/>
      <c r="J178" s="1428"/>
      <c r="K178" s="1428"/>
      <c r="L178" s="1428"/>
      <c r="M178" s="1428"/>
      <c r="N178" s="1428"/>
      <c r="O178" s="1428"/>
      <c r="P178" s="1428"/>
      <c r="Q178" s="1428"/>
      <c r="R178" s="1428"/>
      <c r="S178" s="1428"/>
      <c r="T178" s="1428"/>
      <c r="U178" s="1428"/>
      <c r="V178" s="1428"/>
      <c r="W178" s="1428"/>
      <c r="X178" s="1428"/>
    </row>
    <row r="179" spans="1:24" s="51" customFormat="1" ht="36" customHeight="1" x14ac:dyDescent="0.2">
      <c r="A179" s="1411"/>
      <c r="B179" s="1411"/>
      <c r="C179" s="1427" t="s">
        <v>322</v>
      </c>
      <c r="D179" s="1428"/>
      <c r="E179" s="1428"/>
      <c r="F179" s="1428"/>
      <c r="G179" s="1428"/>
      <c r="H179" s="1428"/>
      <c r="I179" s="1428"/>
      <c r="J179" s="1428"/>
      <c r="K179" s="1428"/>
      <c r="L179" s="1428"/>
      <c r="M179" s="1428"/>
      <c r="N179" s="1428"/>
      <c r="O179" s="1428"/>
      <c r="P179" s="1428"/>
      <c r="Q179" s="1428"/>
      <c r="R179" s="1428"/>
      <c r="S179" s="1428"/>
      <c r="T179" s="1428"/>
      <c r="U179" s="1428"/>
      <c r="V179" s="1428"/>
      <c r="W179" s="1428"/>
      <c r="X179" s="1428"/>
    </row>
    <row r="180" spans="1:24" s="51" customFormat="1" ht="36" customHeight="1" x14ac:dyDescent="0.2">
      <c r="A180" s="1411"/>
      <c r="B180" s="1411"/>
      <c r="C180" s="1427" t="s">
        <v>323</v>
      </c>
      <c r="D180" s="1428"/>
      <c r="E180" s="1428"/>
      <c r="F180" s="1428"/>
      <c r="G180" s="1428"/>
      <c r="H180" s="1428"/>
      <c r="I180" s="1428"/>
      <c r="J180" s="1428"/>
      <c r="K180" s="1428"/>
      <c r="L180" s="1428"/>
      <c r="M180" s="1428"/>
      <c r="N180" s="1428"/>
      <c r="O180" s="1428"/>
      <c r="P180" s="1428"/>
      <c r="Q180" s="1428"/>
      <c r="R180" s="1428"/>
      <c r="S180" s="1428"/>
      <c r="T180" s="1428"/>
      <c r="U180" s="1428"/>
      <c r="V180" s="1428"/>
      <c r="W180" s="1428"/>
      <c r="X180" s="1428"/>
    </row>
    <row r="181" spans="1:24" s="51" customFormat="1" ht="36" customHeight="1" x14ac:dyDescent="0.2">
      <c r="A181" s="1411"/>
      <c r="B181" s="1411"/>
      <c r="C181" s="1427" t="s">
        <v>324</v>
      </c>
      <c r="D181" s="1428"/>
      <c r="E181" s="1428"/>
      <c r="F181" s="1428"/>
      <c r="G181" s="1428"/>
      <c r="H181" s="1428"/>
      <c r="I181" s="1428"/>
      <c r="J181" s="1428"/>
      <c r="K181" s="1428"/>
      <c r="L181" s="1428"/>
      <c r="M181" s="1428"/>
      <c r="N181" s="1428"/>
      <c r="O181" s="1428"/>
      <c r="P181" s="1428"/>
      <c r="Q181" s="1428"/>
      <c r="R181" s="1428"/>
      <c r="S181" s="1428"/>
      <c r="T181" s="1428"/>
      <c r="U181" s="1428"/>
      <c r="V181" s="1428"/>
      <c r="W181" s="1428"/>
      <c r="X181" s="1428"/>
    </row>
    <row r="182" spans="1:24" s="51" customFormat="1" ht="36" customHeight="1" x14ac:dyDescent="0.2">
      <c r="A182" s="1411"/>
      <c r="B182" s="1411"/>
      <c r="C182" s="1427" t="s">
        <v>325</v>
      </c>
      <c r="D182" s="1428"/>
      <c r="E182" s="1428"/>
      <c r="F182" s="1428"/>
      <c r="G182" s="1428"/>
      <c r="H182" s="1428"/>
      <c r="I182" s="1428"/>
      <c r="J182" s="1428"/>
      <c r="K182" s="1428"/>
      <c r="L182" s="1428"/>
      <c r="M182" s="1428"/>
      <c r="N182" s="1428"/>
      <c r="O182" s="1428"/>
      <c r="P182" s="1428"/>
      <c r="Q182" s="1428"/>
      <c r="R182" s="1428"/>
      <c r="S182" s="1428"/>
      <c r="T182" s="1428"/>
      <c r="U182" s="1428"/>
      <c r="V182" s="1428"/>
      <c r="W182" s="1428"/>
      <c r="X182" s="1428"/>
    </row>
    <row r="183" spans="1:24" s="51" customFormat="1" ht="36" customHeight="1" x14ac:dyDescent="0.2">
      <c r="A183" s="1411"/>
      <c r="B183" s="1411"/>
      <c r="C183" s="1427" t="s">
        <v>326</v>
      </c>
      <c r="D183" s="1428"/>
      <c r="E183" s="1428"/>
      <c r="F183" s="1428"/>
      <c r="G183" s="1428"/>
      <c r="H183" s="1428"/>
      <c r="I183" s="1428"/>
      <c r="J183" s="1428"/>
      <c r="K183" s="1428"/>
      <c r="L183" s="1428"/>
      <c r="M183" s="1428"/>
      <c r="N183" s="1428"/>
      <c r="O183" s="1428"/>
      <c r="P183" s="1428"/>
      <c r="Q183" s="1428"/>
      <c r="R183" s="1428"/>
      <c r="S183" s="1428"/>
      <c r="T183" s="1428"/>
      <c r="U183" s="1428"/>
      <c r="V183" s="1428"/>
      <c r="W183" s="1428"/>
      <c r="X183" s="1428"/>
    </row>
    <row r="184" spans="1:24" s="51" customFormat="1" ht="36" customHeight="1" x14ac:dyDescent="0.2">
      <c r="A184" s="1411"/>
      <c r="B184" s="1411"/>
      <c r="C184" s="1427" t="s">
        <v>327</v>
      </c>
      <c r="D184" s="1428"/>
      <c r="E184" s="1428"/>
      <c r="F184" s="1428"/>
      <c r="G184" s="1428"/>
      <c r="H184" s="1428"/>
      <c r="I184" s="1428"/>
      <c r="J184" s="1428"/>
      <c r="K184" s="1428"/>
      <c r="L184" s="1428"/>
      <c r="M184" s="1428"/>
      <c r="N184" s="1428"/>
      <c r="O184" s="1428"/>
      <c r="P184" s="1428"/>
      <c r="Q184" s="1428"/>
      <c r="R184" s="1428"/>
      <c r="S184" s="1428"/>
      <c r="T184" s="1428"/>
      <c r="U184" s="1428"/>
      <c r="V184" s="1428"/>
      <c r="W184" s="1428"/>
      <c r="X184" s="1428"/>
    </row>
    <row r="185" spans="1:24" s="51" customFormat="1" ht="36" customHeight="1" x14ac:dyDescent="0.2">
      <c r="A185" s="1411"/>
      <c r="B185" s="1411"/>
      <c r="C185" s="1427" t="s">
        <v>321</v>
      </c>
      <c r="D185" s="1428"/>
      <c r="E185" s="1428"/>
      <c r="F185" s="1428"/>
      <c r="G185" s="1428"/>
      <c r="H185" s="1428"/>
      <c r="I185" s="1428"/>
      <c r="J185" s="1428"/>
      <c r="K185" s="1428"/>
      <c r="L185" s="1428"/>
      <c r="M185" s="1428"/>
      <c r="N185" s="1428"/>
      <c r="O185" s="1428"/>
      <c r="P185" s="1428"/>
      <c r="Q185" s="1428"/>
      <c r="R185" s="1428"/>
      <c r="S185" s="1428"/>
      <c r="T185" s="1428"/>
      <c r="U185" s="1428"/>
      <c r="V185" s="1428"/>
      <c r="W185" s="1428"/>
      <c r="X185" s="1428"/>
    </row>
    <row r="186" spans="1:24" s="51" customFormat="1" ht="36" customHeight="1" x14ac:dyDescent="0.2">
      <c r="A186" s="1411"/>
      <c r="B186" s="1411"/>
      <c r="C186" s="1686" t="s">
        <v>150</v>
      </c>
      <c r="D186" s="1687"/>
      <c r="E186" s="1687"/>
      <c r="F186" s="1687"/>
      <c r="G186" s="1687"/>
      <c r="H186" s="1687"/>
      <c r="I186" s="1687"/>
      <c r="J186" s="1687"/>
      <c r="K186" s="1687"/>
      <c r="L186" s="1687"/>
      <c r="M186" s="1687"/>
      <c r="N186" s="1687"/>
      <c r="O186" s="1687"/>
      <c r="P186" s="1687"/>
      <c r="Q186" s="1687"/>
      <c r="R186" s="1687"/>
      <c r="S186" s="1687"/>
      <c r="T186" s="1687"/>
      <c r="U186" s="1687"/>
      <c r="V186" s="1687"/>
      <c r="W186" s="1687"/>
      <c r="X186" s="1687"/>
    </row>
    <row r="187" spans="1:24" s="55" customFormat="1" ht="19.899999999999999" customHeight="1" x14ac:dyDescent="0.2">
      <c r="A187" s="1675" t="s">
        <v>2299</v>
      </c>
      <c r="B187" s="1675"/>
      <c r="C187" s="1676"/>
      <c r="D187" s="1676"/>
      <c r="E187" s="1676"/>
      <c r="F187" s="1676"/>
      <c r="G187" s="1676"/>
      <c r="H187" s="1676"/>
      <c r="I187" s="1676"/>
      <c r="J187" s="1676"/>
      <c r="K187" s="1676"/>
      <c r="L187" s="1676"/>
      <c r="M187" s="1676"/>
      <c r="N187" s="1676"/>
      <c r="O187" s="1676"/>
      <c r="P187" s="1676"/>
      <c r="Q187" s="1676"/>
      <c r="R187" s="1676"/>
      <c r="S187" s="1676"/>
      <c r="T187" s="1676"/>
      <c r="U187" s="1676"/>
      <c r="V187" s="1676"/>
      <c r="W187" s="1676"/>
      <c r="X187" s="1676"/>
    </row>
    <row r="188" spans="1:24" s="51" customFormat="1" ht="19.899999999999999" customHeight="1" x14ac:dyDescent="0.2">
      <c r="A188" s="1675" t="s">
        <v>2300</v>
      </c>
      <c r="B188" s="1675"/>
      <c r="C188" s="1675"/>
      <c r="D188" s="1675"/>
      <c r="E188" s="1675"/>
      <c r="F188" s="1675"/>
      <c r="G188" s="1675"/>
      <c r="H188" s="1675"/>
      <c r="I188" s="1675"/>
      <c r="J188" s="1675"/>
      <c r="K188" s="1675"/>
      <c r="L188" s="1675"/>
      <c r="M188" s="1675"/>
      <c r="N188" s="1675"/>
      <c r="O188" s="1675"/>
      <c r="P188" s="1675"/>
      <c r="Q188" s="1675"/>
      <c r="R188" s="1675"/>
      <c r="S188" s="1675"/>
      <c r="T188" s="1675"/>
      <c r="U188" s="1675"/>
      <c r="V188" s="1675"/>
      <c r="W188" s="1675"/>
      <c r="X188" s="1675"/>
    </row>
    <row r="189" spans="1:24" s="51" customFormat="1" ht="18" customHeight="1" x14ac:dyDescent="0.2">
      <c r="A189" s="109"/>
      <c r="B189" s="110" t="s">
        <v>52</v>
      </c>
      <c r="C189" s="105" t="s">
        <v>2301</v>
      </c>
      <c r="D189" s="105"/>
      <c r="E189" s="105"/>
      <c r="F189" s="105"/>
      <c r="G189" s="105"/>
      <c r="H189" s="105"/>
      <c r="I189" s="105"/>
      <c r="J189" s="105"/>
      <c r="K189" s="105"/>
      <c r="L189" s="105"/>
      <c r="M189" s="105"/>
      <c r="N189" s="105"/>
      <c r="O189" s="105"/>
      <c r="P189" s="105"/>
      <c r="Q189" s="105"/>
      <c r="R189" s="105"/>
      <c r="S189" s="105"/>
      <c r="T189" s="105"/>
      <c r="U189" s="105"/>
      <c r="V189" s="105"/>
      <c r="W189" s="105"/>
      <c r="X189" s="105"/>
    </row>
    <row r="190" spans="1:24" s="53" customFormat="1" ht="17.45" customHeight="1" x14ac:dyDescent="0.2">
      <c r="A190" s="111"/>
      <c r="B190" s="112" t="s">
        <v>52</v>
      </c>
      <c r="C190" s="1455" t="s">
        <v>151</v>
      </c>
      <c r="D190" s="1455"/>
      <c r="E190" s="1455"/>
      <c r="F190" s="1455"/>
      <c r="G190" s="1455"/>
      <c r="H190" s="1455"/>
      <c r="I190" s="1455"/>
      <c r="J190" s="1455"/>
      <c r="K190" s="1455"/>
      <c r="L190" s="1455"/>
      <c r="M190" s="1455"/>
      <c r="N190" s="1455"/>
      <c r="O190" s="1455"/>
      <c r="P190" s="1455"/>
      <c r="Q190" s="1455"/>
      <c r="R190" s="1455"/>
      <c r="S190" s="1455"/>
      <c r="T190" s="1455"/>
      <c r="U190" s="1455"/>
      <c r="V190" s="1455"/>
      <c r="W190" s="1455"/>
      <c r="X190" s="1455"/>
    </row>
    <row r="191" spans="1:24" s="51" customFormat="1" ht="18" customHeight="1" x14ac:dyDescent="0.2">
      <c r="A191" s="90"/>
      <c r="B191" s="52"/>
      <c r="C191" s="52"/>
      <c r="D191" s="52"/>
      <c r="E191" s="52"/>
      <c r="F191" s="52"/>
      <c r="G191" s="52"/>
      <c r="H191" s="52"/>
      <c r="I191" s="52"/>
      <c r="J191" s="52"/>
      <c r="K191" s="52"/>
      <c r="L191" s="52"/>
      <c r="M191" s="52"/>
      <c r="N191" s="52"/>
      <c r="O191" s="52"/>
      <c r="P191" s="52"/>
      <c r="Q191" s="52"/>
      <c r="R191" s="52"/>
      <c r="S191" s="52"/>
      <c r="T191" s="52"/>
      <c r="U191" s="52"/>
      <c r="V191" s="52"/>
      <c r="W191" s="52"/>
      <c r="X191" s="52"/>
    </row>
    <row r="192" spans="1:24" s="51" customFormat="1" ht="18" customHeight="1" x14ac:dyDescent="0.2">
      <c r="A192" s="90"/>
      <c r="B192" s="52"/>
      <c r="C192" s="52"/>
      <c r="D192" s="52"/>
      <c r="E192" s="52"/>
      <c r="F192" s="52"/>
      <c r="G192" s="52"/>
      <c r="H192" s="52"/>
      <c r="I192" s="52"/>
      <c r="J192" s="52"/>
      <c r="K192" s="52"/>
      <c r="L192" s="52"/>
      <c r="M192" s="52"/>
      <c r="N192" s="52"/>
      <c r="O192" s="52"/>
      <c r="P192" s="52"/>
      <c r="Q192" s="52"/>
      <c r="R192" s="52"/>
      <c r="S192" s="52"/>
      <c r="T192" s="52"/>
      <c r="U192" s="52"/>
      <c r="V192" s="52"/>
      <c r="W192" s="52"/>
      <c r="X192" s="52"/>
    </row>
    <row r="193" spans="1:24" s="56" customFormat="1" ht="36" customHeight="1" x14ac:dyDescent="0.2">
      <c r="A193" s="1669" t="s">
        <v>346</v>
      </c>
      <c r="B193" s="1669"/>
      <c r="C193" s="1669"/>
      <c r="D193" s="1669"/>
      <c r="E193" s="1669"/>
      <c r="F193" s="1669"/>
      <c r="G193" s="1669"/>
      <c r="H193" s="1669"/>
      <c r="I193" s="1669"/>
      <c r="J193" s="1669"/>
      <c r="K193" s="1669"/>
      <c r="L193" s="1669"/>
      <c r="M193" s="1669"/>
      <c r="N193" s="1669"/>
      <c r="O193" s="1669"/>
      <c r="P193" s="1669"/>
      <c r="Q193" s="1669"/>
      <c r="R193" s="1669"/>
      <c r="S193" s="1669"/>
      <c r="T193" s="1669"/>
      <c r="U193" s="1669"/>
      <c r="V193" s="1669"/>
      <c r="W193" s="1669"/>
      <c r="X193" s="1669"/>
    </row>
    <row r="194" spans="1:24" s="51" customFormat="1" ht="18" customHeight="1" x14ac:dyDescent="0.2">
      <c r="A194" s="90"/>
      <c r="B194" s="1677"/>
      <c r="C194" s="1678"/>
      <c r="D194" s="1678"/>
      <c r="E194" s="1678"/>
      <c r="F194" s="1678"/>
      <c r="G194" s="1678"/>
      <c r="H194" s="1678"/>
      <c r="I194" s="1678"/>
      <c r="J194" s="1678"/>
      <c r="K194" s="1678"/>
      <c r="L194" s="1678"/>
      <c r="M194" s="1678"/>
      <c r="N194" s="1678"/>
      <c r="O194" s="1678"/>
      <c r="P194" s="1678"/>
      <c r="Q194" s="1678"/>
      <c r="R194" s="1678"/>
      <c r="S194" s="1678"/>
      <c r="T194" s="1678"/>
      <c r="U194" s="1678"/>
      <c r="V194" s="1678"/>
      <c r="W194" s="1679"/>
      <c r="X194" s="52"/>
    </row>
    <row r="195" spans="1:24" s="51" customFormat="1" ht="18" customHeight="1" x14ac:dyDescent="0.2">
      <c r="A195" s="90"/>
      <c r="B195" s="1680"/>
      <c r="C195" s="1681"/>
      <c r="D195" s="1681"/>
      <c r="E195" s="1681"/>
      <c r="F195" s="1681"/>
      <c r="G195" s="1681"/>
      <c r="H195" s="1681"/>
      <c r="I195" s="1681"/>
      <c r="J195" s="1681"/>
      <c r="K195" s="1681"/>
      <c r="L195" s="1681"/>
      <c r="M195" s="1681"/>
      <c r="N195" s="1681"/>
      <c r="O195" s="1681"/>
      <c r="P195" s="1681"/>
      <c r="Q195" s="1681"/>
      <c r="R195" s="1681"/>
      <c r="S195" s="1681"/>
      <c r="T195" s="1681"/>
      <c r="U195" s="1681"/>
      <c r="V195" s="1681"/>
      <c r="W195" s="1682"/>
      <c r="X195" s="52"/>
    </row>
    <row r="196" spans="1:24" s="51" customFormat="1" ht="23.45" customHeight="1" x14ac:dyDescent="0.2">
      <c r="A196" s="90"/>
      <c r="B196" s="1680"/>
      <c r="C196" s="1681"/>
      <c r="D196" s="1681"/>
      <c r="E196" s="1681"/>
      <c r="F196" s="1681"/>
      <c r="G196" s="1681"/>
      <c r="H196" s="1681"/>
      <c r="I196" s="1681"/>
      <c r="J196" s="1681"/>
      <c r="K196" s="1681"/>
      <c r="L196" s="1681"/>
      <c r="M196" s="1681"/>
      <c r="N196" s="1681"/>
      <c r="O196" s="1681"/>
      <c r="P196" s="1681"/>
      <c r="Q196" s="1681"/>
      <c r="R196" s="1681"/>
      <c r="S196" s="1681"/>
      <c r="T196" s="1681"/>
      <c r="U196" s="1681"/>
      <c r="V196" s="1681"/>
      <c r="W196" s="1682"/>
      <c r="X196" s="52"/>
    </row>
    <row r="197" spans="1:24" s="51" customFormat="1" ht="23.45" customHeight="1" x14ac:dyDescent="0.2">
      <c r="A197" s="90"/>
      <c r="B197" s="1683"/>
      <c r="C197" s="1684"/>
      <c r="D197" s="1684"/>
      <c r="E197" s="1684"/>
      <c r="F197" s="1684"/>
      <c r="G197" s="1684"/>
      <c r="H197" s="1684"/>
      <c r="I197" s="1684"/>
      <c r="J197" s="1684"/>
      <c r="K197" s="1684"/>
      <c r="L197" s="1684"/>
      <c r="M197" s="1684"/>
      <c r="N197" s="1684"/>
      <c r="O197" s="1684"/>
      <c r="P197" s="1684"/>
      <c r="Q197" s="1684"/>
      <c r="R197" s="1684"/>
      <c r="S197" s="1684"/>
      <c r="T197" s="1684"/>
      <c r="U197" s="1684"/>
      <c r="V197" s="1684"/>
      <c r="W197" s="1685"/>
      <c r="X197" s="52"/>
    </row>
    <row r="198" spans="1:24" s="51" customFormat="1" ht="18" customHeight="1" x14ac:dyDescent="0.2">
      <c r="A198" s="90"/>
      <c r="B198" s="52"/>
      <c r="C198" s="52"/>
      <c r="D198" s="52"/>
      <c r="E198" s="52"/>
      <c r="F198" s="52"/>
      <c r="G198" s="52"/>
      <c r="H198" s="52"/>
      <c r="I198" s="52"/>
      <c r="J198" s="52"/>
      <c r="K198" s="52"/>
      <c r="L198" s="52"/>
      <c r="M198" s="52"/>
      <c r="N198" s="52"/>
      <c r="O198" s="52"/>
      <c r="P198" s="52"/>
      <c r="Q198" s="52"/>
      <c r="R198" s="52"/>
      <c r="S198" s="52"/>
      <c r="T198" s="52"/>
      <c r="U198" s="52"/>
      <c r="V198" s="52"/>
      <c r="W198" s="52"/>
      <c r="X198" s="52"/>
    </row>
    <row r="199" spans="1:24" s="51" customFormat="1" ht="18" customHeight="1" x14ac:dyDescent="0.2">
      <c r="A199" s="90" t="s">
        <v>347</v>
      </c>
      <c r="B199" s="52"/>
      <c r="C199" s="52"/>
      <c r="D199" s="52"/>
      <c r="E199" s="52"/>
      <c r="F199" s="52"/>
      <c r="G199" s="52"/>
      <c r="H199" s="52"/>
      <c r="I199" s="52"/>
      <c r="J199" s="52"/>
      <c r="K199" s="52"/>
      <c r="L199" s="52"/>
      <c r="M199" s="52"/>
      <c r="N199" s="52"/>
      <c r="O199" s="52"/>
      <c r="P199" s="52"/>
      <c r="Q199" s="52"/>
      <c r="R199" s="52"/>
      <c r="S199" s="52"/>
      <c r="T199" s="52"/>
      <c r="U199" s="52"/>
      <c r="V199" s="52"/>
      <c r="W199" s="52"/>
      <c r="X199" s="52"/>
    </row>
    <row r="200" spans="1:24" s="51" customFormat="1" ht="18" customHeight="1" x14ac:dyDescent="0.2">
      <c r="A200" s="1424" t="s">
        <v>1968</v>
      </c>
      <c r="B200" s="1424"/>
      <c r="C200" s="1424"/>
      <c r="D200" s="1424"/>
      <c r="E200" s="1424"/>
      <c r="F200" s="1424"/>
      <c r="G200" s="727"/>
      <c r="H200" s="1425" t="s">
        <v>1969</v>
      </c>
      <c r="I200" s="1425"/>
      <c r="J200" s="1425"/>
      <c r="K200" s="1426" t="s">
        <v>1970</v>
      </c>
      <c r="L200" s="1426"/>
      <c r="M200" s="1426"/>
      <c r="N200" s="1426"/>
      <c r="O200" s="1426"/>
      <c r="P200" s="727"/>
      <c r="Q200" s="727"/>
      <c r="R200" s="727"/>
      <c r="S200" s="727"/>
      <c r="T200" s="727"/>
      <c r="U200" s="727"/>
      <c r="V200" s="727"/>
      <c r="W200" s="727"/>
      <c r="X200" s="52"/>
    </row>
    <row r="201" spans="1:24" s="51" customFormat="1" ht="13.9" customHeight="1" x14ac:dyDescent="0.2">
      <c r="A201" s="90"/>
      <c r="B201" s="52"/>
      <c r="C201" s="52"/>
      <c r="D201" s="52"/>
      <c r="E201" s="52"/>
      <c r="F201" s="52"/>
      <c r="G201" s="52"/>
      <c r="H201" s="52"/>
      <c r="I201" s="52"/>
      <c r="J201" s="52"/>
      <c r="K201" s="52"/>
      <c r="L201" s="52"/>
      <c r="M201" s="52"/>
      <c r="N201" s="52"/>
      <c r="O201" s="52"/>
      <c r="P201" s="52"/>
      <c r="Q201" s="52"/>
      <c r="R201" s="52"/>
      <c r="S201" s="52"/>
      <c r="T201" s="52"/>
      <c r="U201" s="52"/>
      <c r="V201" s="52"/>
      <c r="W201" s="52"/>
      <c r="X201" s="52"/>
    </row>
    <row r="202" spans="1:24" s="51" customFormat="1" ht="18" customHeight="1" x14ac:dyDescent="0.2">
      <c r="A202" s="90" t="s">
        <v>152</v>
      </c>
      <c r="B202" s="52"/>
      <c r="C202" s="52"/>
      <c r="D202" s="52"/>
      <c r="E202" s="52"/>
      <c r="F202" s="52"/>
      <c r="G202" s="52"/>
      <c r="H202" s="52"/>
      <c r="I202" s="52"/>
      <c r="J202" s="52"/>
      <c r="K202" s="52"/>
      <c r="L202" s="52"/>
      <c r="M202" s="52"/>
      <c r="N202" s="52"/>
      <c r="O202" s="52"/>
      <c r="P202" s="52"/>
      <c r="Q202" s="52"/>
      <c r="R202" s="52"/>
      <c r="S202" s="52"/>
      <c r="T202" s="52"/>
      <c r="U202" s="52"/>
      <c r="V202" s="52"/>
      <c r="W202" s="52"/>
      <c r="X202" s="52"/>
    </row>
    <row r="203" spans="1:24" s="51" customFormat="1" ht="10.15" customHeight="1" x14ac:dyDescent="0.2">
      <c r="A203" s="90"/>
      <c r="B203" s="52"/>
      <c r="C203" s="52"/>
      <c r="D203" s="52"/>
      <c r="E203" s="52"/>
      <c r="F203" s="52"/>
      <c r="G203" s="52"/>
      <c r="H203" s="52"/>
      <c r="I203" s="52"/>
      <c r="J203" s="52"/>
      <c r="K203" s="52"/>
      <c r="L203" s="52"/>
      <c r="M203" s="52"/>
      <c r="N203" s="52"/>
      <c r="O203" s="52"/>
      <c r="P203" s="52"/>
      <c r="Q203" s="52"/>
      <c r="R203" s="52"/>
      <c r="S203" s="52"/>
      <c r="T203" s="52"/>
      <c r="U203" s="52"/>
      <c r="V203" s="52"/>
      <c r="W203" s="52"/>
      <c r="X203" s="52"/>
    </row>
    <row r="204" spans="1:24" s="51" customFormat="1" ht="18" customHeight="1" x14ac:dyDescent="0.2">
      <c r="A204" s="1480"/>
      <c r="B204" s="1480"/>
      <c r="C204" s="1517" t="s">
        <v>153</v>
      </c>
      <c r="D204" s="1517"/>
      <c r="E204" s="1517"/>
      <c r="F204" s="1517"/>
      <c r="G204" s="1517"/>
      <c r="H204" s="1517"/>
      <c r="I204" s="1517"/>
      <c r="J204" s="1448" t="s">
        <v>154</v>
      </c>
      <c r="K204" s="1448"/>
      <c r="L204" s="1448"/>
      <c r="M204" s="1448"/>
      <c r="N204" s="1448"/>
      <c r="O204" s="1448"/>
      <c r="P204" s="1448"/>
      <c r="Q204" s="104"/>
      <c r="R204" s="1518" t="s">
        <v>155</v>
      </c>
      <c r="S204" s="1434"/>
      <c r="T204" s="1434"/>
      <c r="U204" s="1434"/>
      <c r="V204" s="1434"/>
      <c r="W204" s="1434"/>
      <c r="X204" s="1430"/>
    </row>
    <row r="205" spans="1:24" s="51" customFormat="1" ht="20.25" customHeight="1" x14ac:dyDescent="0.2">
      <c r="A205" s="1516" t="s">
        <v>156</v>
      </c>
      <c r="B205" s="1516"/>
      <c r="C205" s="1395" t="s">
        <v>157</v>
      </c>
      <c r="D205" s="1396"/>
      <c r="E205" s="1396"/>
      <c r="F205" s="1396"/>
      <c r="G205" s="1396"/>
      <c r="H205" s="1396"/>
      <c r="I205" s="1397"/>
      <c r="J205" s="1407" t="s">
        <v>832</v>
      </c>
      <c r="K205" s="1407"/>
      <c r="L205" s="1407"/>
      <c r="M205" s="1407"/>
      <c r="N205" s="1407"/>
      <c r="O205" s="1407"/>
      <c r="P205" s="1407"/>
      <c r="Q205" s="312"/>
      <c r="R205" s="1404">
        <v>300000</v>
      </c>
      <c r="S205" s="1405"/>
      <c r="T205" s="1405"/>
      <c r="U205" s="1405"/>
      <c r="V205" s="1405"/>
      <c r="W205" s="1405"/>
      <c r="X205" s="1406"/>
    </row>
    <row r="206" spans="1:24" s="51" customFormat="1" ht="20.25" customHeight="1" x14ac:dyDescent="0.2">
      <c r="A206" s="1516"/>
      <c r="B206" s="1516"/>
      <c r="C206" s="1401"/>
      <c r="D206" s="1402"/>
      <c r="E206" s="1402"/>
      <c r="F206" s="1402"/>
      <c r="G206" s="1402"/>
      <c r="H206" s="1402"/>
      <c r="I206" s="1403"/>
      <c r="J206" s="1420" t="s">
        <v>833</v>
      </c>
      <c r="K206" s="1421"/>
      <c r="L206" s="1421"/>
      <c r="M206" s="1421"/>
      <c r="N206" s="1421"/>
      <c r="O206" s="1421"/>
      <c r="P206" s="1422"/>
      <c r="Q206" s="312"/>
      <c r="R206" s="1404">
        <v>30000</v>
      </c>
      <c r="S206" s="1405"/>
      <c r="T206" s="1405"/>
      <c r="U206" s="1405"/>
      <c r="V206" s="1405"/>
      <c r="W206" s="1405"/>
      <c r="X206" s="1406"/>
    </row>
    <row r="207" spans="1:24" s="51" customFormat="1" ht="20.25" customHeight="1" x14ac:dyDescent="0.2">
      <c r="A207" s="1516"/>
      <c r="B207" s="1516"/>
      <c r="C207" s="1395" t="s">
        <v>158</v>
      </c>
      <c r="D207" s="1396"/>
      <c r="E207" s="1396"/>
      <c r="F207" s="1396"/>
      <c r="G207" s="1396"/>
      <c r="H207" s="1396"/>
      <c r="I207" s="1397"/>
      <c r="J207" s="1407" t="s">
        <v>834</v>
      </c>
      <c r="K207" s="1407"/>
      <c r="L207" s="1407"/>
      <c r="M207" s="1407"/>
      <c r="N207" s="1407"/>
      <c r="O207" s="1407"/>
      <c r="P207" s="1407"/>
      <c r="Q207" s="312"/>
      <c r="R207" s="1404">
        <v>20000</v>
      </c>
      <c r="S207" s="1405"/>
      <c r="T207" s="1405"/>
      <c r="U207" s="1405"/>
      <c r="V207" s="1405"/>
      <c r="W207" s="1405"/>
      <c r="X207" s="1406"/>
    </row>
    <row r="208" spans="1:24" s="51" customFormat="1" ht="20.25" customHeight="1" x14ac:dyDescent="0.2">
      <c r="A208" s="1516"/>
      <c r="B208" s="1516"/>
      <c r="C208" s="1398"/>
      <c r="D208" s="1399"/>
      <c r="E208" s="1399"/>
      <c r="F208" s="1399"/>
      <c r="G208" s="1399"/>
      <c r="H208" s="1399"/>
      <c r="I208" s="1400"/>
      <c r="J208" s="1407" t="s">
        <v>835</v>
      </c>
      <c r="K208" s="1407"/>
      <c r="L208" s="1407"/>
      <c r="M208" s="1407"/>
      <c r="N208" s="1407"/>
      <c r="O208" s="1407"/>
      <c r="P208" s="1407"/>
      <c r="Q208" s="312"/>
      <c r="R208" s="1404">
        <v>100000</v>
      </c>
      <c r="S208" s="1405"/>
      <c r="T208" s="1405"/>
      <c r="U208" s="1405"/>
      <c r="V208" s="1405"/>
      <c r="W208" s="1405"/>
      <c r="X208" s="1406"/>
    </row>
    <row r="209" spans="1:24" s="51" customFormat="1" ht="20.25" customHeight="1" x14ac:dyDescent="0.2">
      <c r="A209" s="1516"/>
      <c r="B209" s="1516"/>
      <c r="C209" s="1398"/>
      <c r="D209" s="1399"/>
      <c r="E209" s="1399"/>
      <c r="F209" s="1399"/>
      <c r="G209" s="1399"/>
      <c r="H209" s="1399"/>
      <c r="I209" s="1400"/>
      <c r="J209" s="1407" t="s">
        <v>836</v>
      </c>
      <c r="K209" s="1407"/>
      <c r="L209" s="1407"/>
      <c r="M209" s="1407"/>
      <c r="N209" s="1407"/>
      <c r="O209" s="1407"/>
      <c r="P209" s="1407"/>
      <c r="Q209" s="312"/>
      <c r="R209" s="1404">
        <v>100000</v>
      </c>
      <c r="S209" s="1405"/>
      <c r="T209" s="1405"/>
      <c r="U209" s="1405"/>
      <c r="V209" s="1405"/>
      <c r="W209" s="1405"/>
      <c r="X209" s="1406"/>
    </row>
    <row r="210" spans="1:24" s="51" customFormat="1" ht="20.25" customHeight="1" x14ac:dyDescent="0.2">
      <c r="A210" s="1516"/>
      <c r="B210" s="1516"/>
      <c r="C210" s="1401"/>
      <c r="D210" s="1402"/>
      <c r="E210" s="1402"/>
      <c r="F210" s="1402"/>
      <c r="G210" s="1402"/>
      <c r="H210" s="1402"/>
      <c r="I210" s="1403"/>
      <c r="J210" s="1407" t="s">
        <v>837</v>
      </c>
      <c r="K210" s="1407"/>
      <c r="L210" s="1407"/>
      <c r="M210" s="1407"/>
      <c r="N210" s="1407"/>
      <c r="O210" s="1407"/>
      <c r="P210" s="1407"/>
      <c r="Q210" s="312"/>
      <c r="R210" s="1404">
        <v>20000</v>
      </c>
      <c r="S210" s="1405"/>
      <c r="T210" s="1405"/>
      <c r="U210" s="1405"/>
      <c r="V210" s="1405"/>
      <c r="W210" s="1405"/>
      <c r="X210" s="1406"/>
    </row>
    <row r="211" spans="1:24" s="51" customFormat="1" ht="20.25" customHeight="1" x14ac:dyDescent="0.2">
      <c r="A211" s="1516"/>
      <c r="B211" s="1516"/>
      <c r="C211" s="1395" t="s">
        <v>159</v>
      </c>
      <c r="D211" s="1396"/>
      <c r="E211" s="1396"/>
      <c r="F211" s="1396"/>
      <c r="G211" s="1396"/>
      <c r="H211" s="1396"/>
      <c r="I211" s="1397"/>
      <c r="J211" s="1407" t="s">
        <v>838</v>
      </c>
      <c r="K211" s="1407"/>
      <c r="L211" s="1407"/>
      <c r="M211" s="1407"/>
      <c r="N211" s="1407"/>
      <c r="O211" s="1407"/>
      <c r="P211" s="1407"/>
      <c r="Q211" s="312"/>
      <c r="R211" s="1404">
        <v>1000000</v>
      </c>
      <c r="S211" s="1405"/>
      <c r="T211" s="1405"/>
      <c r="U211" s="1405"/>
      <c r="V211" s="1405"/>
      <c r="W211" s="1405"/>
      <c r="X211" s="1406"/>
    </row>
    <row r="212" spans="1:24" s="51" customFormat="1" ht="20.25" customHeight="1" x14ac:dyDescent="0.2">
      <c r="A212" s="1516"/>
      <c r="B212" s="1516"/>
      <c r="C212" s="1398"/>
      <c r="D212" s="1399"/>
      <c r="E212" s="1399"/>
      <c r="F212" s="1399"/>
      <c r="G212" s="1399"/>
      <c r="H212" s="1399"/>
      <c r="I212" s="1400"/>
      <c r="J212" s="1407" t="s">
        <v>839</v>
      </c>
      <c r="K212" s="1407"/>
      <c r="L212" s="1407"/>
      <c r="M212" s="1407"/>
      <c r="N212" s="1407"/>
      <c r="O212" s="1407"/>
      <c r="P212" s="1407"/>
      <c r="Q212" s="312"/>
      <c r="R212" s="1404">
        <v>700000</v>
      </c>
      <c r="S212" s="1405"/>
      <c r="T212" s="1405"/>
      <c r="U212" s="1405"/>
      <c r="V212" s="1405"/>
      <c r="W212" s="1405"/>
      <c r="X212" s="1406"/>
    </row>
    <row r="213" spans="1:24" s="51" customFormat="1" ht="20.25" customHeight="1" x14ac:dyDescent="0.2">
      <c r="A213" s="1516"/>
      <c r="B213" s="1516"/>
      <c r="C213" s="1398"/>
      <c r="D213" s="1399"/>
      <c r="E213" s="1399"/>
      <c r="F213" s="1399"/>
      <c r="G213" s="1399"/>
      <c r="H213" s="1399"/>
      <c r="I213" s="1400"/>
      <c r="J213" s="1407" t="s">
        <v>840</v>
      </c>
      <c r="K213" s="1407"/>
      <c r="L213" s="1407"/>
      <c r="M213" s="1407"/>
      <c r="N213" s="1407"/>
      <c r="O213" s="1407"/>
      <c r="P213" s="1407"/>
      <c r="Q213" s="312"/>
      <c r="R213" s="1404">
        <v>800000</v>
      </c>
      <c r="S213" s="1405"/>
      <c r="T213" s="1405"/>
      <c r="U213" s="1405"/>
      <c r="V213" s="1405"/>
      <c r="W213" s="1405"/>
      <c r="X213" s="1406"/>
    </row>
    <row r="214" spans="1:24" s="51" customFormat="1" ht="20.25" customHeight="1" x14ac:dyDescent="0.2">
      <c r="A214" s="1516"/>
      <c r="B214" s="1516"/>
      <c r="C214" s="1401"/>
      <c r="D214" s="1402"/>
      <c r="E214" s="1402"/>
      <c r="F214" s="1402"/>
      <c r="G214" s="1402"/>
      <c r="H214" s="1402"/>
      <c r="I214" s="1403"/>
      <c r="J214" s="1407" t="s">
        <v>841</v>
      </c>
      <c r="K214" s="1407"/>
      <c r="L214" s="1407"/>
      <c r="M214" s="1407"/>
      <c r="N214" s="1407"/>
      <c r="O214" s="1407"/>
      <c r="P214" s="1407"/>
      <c r="Q214" s="312"/>
      <c r="R214" s="1404">
        <v>500000</v>
      </c>
      <c r="S214" s="1405"/>
      <c r="T214" s="1405"/>
      <c r="U214" s="1405"/>
      <c r="V214" s="1405"/>
      <c r="W214" s="1405"/>
      <c r="X214" s="1406"/>
    </row>
    <row r="215" spans="1:24" s="51" customFormat="1" ht="20.25" customHeight="1" x14ac:dyDescent="0.2">
      <c r="A215" s="1516"/>
      <c r="B215" s="1516"/>
      <c r="C215" s="1395" t="s">
        <v>160</v>
      </c>
      <c r="D215" s="1396"/>
      <c r="E215" s="1396"/>
      <c r="F215" s="1396"/>
      <c r="G215" s="1396"/>
      <c r="H215" s="1396"/>
      <c r="I215" s="1397"/>
      <c r="J215" s="1407" t="s">
        <v>842</v>
      </c>
      <c r="K215" s="1407"/>
      <c r="L215" s="1407"/>
      <c r="M215" s="1407"/>
      <c r="N215" s="1407"/>
      <c r="O215" s="1407"/>
      <c r="P215" s="1407"/>
      <c r="Q215" s="312"/>
      <c r="R215" s="1404">
        <v>500000</v>
      </c>
      <c r="S215" s="1405"/>
      <c r="T215" s="1405"/>
      <c r="U215" s="1405"/>
      <c r="V215" s="1405"/>
      <c r="W215" s="1405"/>
      <c r="X215" s="1406"/>
    </row>
    <row r="216" spans="1:24" s="51" customFormat="1" ht="20.25" customHeight="1" x14ac:dyDescent="0.2">
      <c r="A216" s="1516"/>
      <c r="B216" s="1516"/>
      <c r="C216" s="1398"/>
      <c r="D216" s="1399"/>
      <c r="E216" s="1399"/>
      <c r="F216" s="1399"/>
      <c r="G216" s="1399"/>
      <c r="H216" s="1399"/>
      <c r="I216" s="1400"/>
      <c r="J216" s="1407" t="s">
        <v>843</v>
      </c>
      <c r="K216" s="1407"/>
      <c r="L216" s="1407"/>
      <c r="M216" s="1407"/>
      <c r="N216" s="1407"/>
      <c r="O216" s="1407"/>
      <c r="P216" s="1407"/>
      <c r="Q216" s="312"/>
      <c r="R216" s="1404">
        <v>500000</v>
      </c>
      <c r="S216" s="1405"/>
      <c r="T216" s="1405"/>
      <c r="U216" s="1405"/>
      <c r="V216" s="1405"/>
      <c r="W216" s="1405"/>
      <c r="X216" s="1406"/>
    </row>
    <row r="217" spans="1:24" s="51" customFormat="1" ht="20.25" customHeight="1" x14ac:dyDescent="0.2">
      <c r="A217" s="1516"/>
      <c r="B217" s="1516"/>
      <c r="C217" s="1398"/>
      <c r="D217" s="1399"/>
      <c r="E217" s="1399"/>
      <c r="F217" s="1399"/>
      <c r="G217" s="1399"/>
      <c r="H217" s="1399"/>
      <c r="I217" s="1400"/>
      <c r="J217" s="1407" t="s">
        <v>844</v>
      </c>
      <c r="K217" s="1407"/>
      <c r="L217" s="1407"/>
      <c r="M217" s="1407"/>
      <c r="N217" s="1407"/>
      <c r="O217" s="1407"/>
      <c r="P217" s="1407"/>
      <c r="Q217" s="312"/>
      <c r="R217" s="1404">
        <v>600000</v>
      </c>
      <c r="S217" s="1405"/>
      <c r="T217" s="1405"/>
      <c r="U217" s="1405"/>
      <c r="V217" s="1405"/>
      <c r="W217" s="1405"/>
      <c r="X217" s="1406"/>
    </row>
    <row r="218" spans="1:24" s="51" customFormat="1" ht="20.25" customHeight="1" x14ac:dyDescent="0.2">
      <c r="A218" s="1516"/>
      <c r="B218" s="1516"/>
      <c r="C218" s="1401"/>
      <c r="D218" s="1402"/>
      <c r="E218" s="1402"/>
      <c r="F218" s="1402"/>
      <c r="G218" s="1402"/>
      <c r="H218" s="1402"/>
      <c r="I218" s="1403"/>
      <c r="J218" s="1407" t="s">
        <v>845</v>
      </c>
      <c r="K218" s="1407"/>
      <c r="L218" s="1407"/>
      <c r="M218" s="1407"/>
      <c r="N218" s="1407"/>
      <c r="O218" s="1407"/>
      <c r="P218" s="1407"/>
      <c r="Q218" s="312"/>
      <c r="R218" s="1404">
        <v>30000</v>
      </c>
      <c r="S218" s="1405"/>
      <c r="T218" s="1405"/>
      <c r="U218" s="1405"/>
      <c r="V218" s="1405"/>
      <c r="W218" s="1405"/>
      <c r="X218" s="1406"/>
    </row>
    <row r="219" spans="1:24" s="51" customFormat="1" ht="20.25" customHeight="1" x14ac:dyDescent="0.2">
      <c r="A219" s="1516"/>
      <c r="B219" s="1516"/>
      <c r="C219" s="1413" t="s">
        <v>161</v>
      </c>
      <c r="D219" s="1413"/>
      <c r="E219" s="1413"/>
      <c r="F219" s="1413"/>
      <c r="G219" s="1413"/>
      <c r="H219" s="1413"/>
      <c r="I219" s="1512"/>
      <c r="J219" s="1407" t="s">
        <v>162</v>
      </c>
      <c r="K219" s="1407"/>
      <c r="L219" s="1407"/>
      <c r="M219" s="1407"/>
      <c r="N219" s="1407"/>
      <c r="O219" s="1407"/>
      <c r="P219" s="1407"/>
      <c r="Q219" s="312"/>
      <c r="R219" s="1404">
        <v>100000</v>
      </c>
      <c r="S219" s="1405"/>
      <c r="T219" s="1405"/>
      <c r="U219" s="1405"/>
      <c r="V219" s="1405"/>
      <c r="W219" s="1405"/>
      <c r="X219" s="1406"/>
    </row>
    <row r="220" spans="1:24" s="51" customFormat="1" ht="18.600000000000001" customHeight="1" x14ac:dyDescent="0.2">
      <c r="A220" s="1514"/>
      <c r="B220" s="1515"/>
      <c r="C220" s="1515"/>
      <c r="D220" s="1515"/>
      <c r="E220" s="1515"/>
      <c r="F220" s="1515"/>
      <c r="G220" s="1515"/>
      <c r="H220" s="1515"/>
      <c r="I220" s="1515"/>
      <c r="J220" s="1515"/>
      <c r="K220" s="1515"/>
      <c r="L220" s="1515"/>
      <c r="M220" s="1515"/>
      <c r="N220" s="1515"/>
      <c r="O220" s="1515"/>
      <c r="P220" s="1515"/>
      <c r="Q220" s="1515"/>
      <c r="R220" s="1515"/>
      <c r="S220" s="1515"/>
      <c r="T220" s="1515"/>
      <c r="U220" s="1515"/>
      <c r="V220" s="1515"/>
      <c r="W220" s="1515"/>
      <c r="X220" s="1515"/>
    </row>
    <row r="221" spans="1:24" s="51" customFormat="1" ht="18" customHeight="1" x14ac:dyDescent="0.2">
      <c r="A221" s="90" t="s">
        <v>163</v>
      </c>
      <c r="B221" s="52"/>
      <c r="C221" s="52"/>
      <c r="D221" s="52"/>
      <c r="E221" s="52"/>
      <c r="F221" s="52"/>
      <c r="G221" s="52"/>
      <c r="H221" s="52"/>
      <c r="I221" s="52"/>
      <c r="J221" s="52"/>
      <c r="K221" s="52"/>
      <c r="L221" s="52"/>
      <c r="M221" s="52"/>
      <c r="N221" s="52"/>
      <c r="O221" s="52"/>
      <c r="P221" s="52"/>
      <c r="Q221" s="52"/>
      <c r="R221" s="52"/>
      <c r="S221" s="52"/>
      <c r="T221" s="52"/>
      <c r="U221" s="52"/>
      <c r="V221" s="52"/>
      <c r="W221" s="52"/>
      <c r="X221" s="52"/>
    </row>
    <row r="222" spans="1:24" s="51" customFormat="1" ht="18" customHeight="1" x14ac:dyDescent="0.2">
      <c r="A222" s="90" t="s">
        <v>164</v>
      </c>
      <c r="B222" s="52"/>
      <c r="C222" s="52"/>
      <c r="D222" s="52"/>
      <c r="E222" s="52"/>
      <c r="F222" s="52"/>
      <c r="G222" s="52"/>
      <c r="H222" s="52"/>
      <c r="I222" s="52"/>
      <c r="J222" s="52"/>
      <c r="K222" s="52"/>
      <c r="L222" s="52"/>
      <c r="M222" s="52"/>
      <c r="N222" s="52"/>
      <c r="O222" s="52"/>
      <c r="P222" s="52"/>
      <c r="Q222" s="52"/>
      <c r="R222" s="52"/>
      <c r="S222" s="52"/>
      <c r="T222" s="52"/>
      <c r="U222" s="52"/>
      <c r="V222" s="52"/>
      <c r="W222" s="52"/>
      <c r="X222" s="52"/>
    </row>
    <row r="223" spans="1:24" s="51" customFormat="1" ht="18" customHeight="1" x14ac:dyDescent="0.2">
      <c r="A223" s="90" t="s">
        <v>165</v>
      </c>
      <c r="B223" s="52" t="s">
        <v>166</v>
      </c>
      <c r="C223" s="52"/>
      <c r="D223" s="52"/>
      <c r="E223" s="52"/>
      <c r="F223" s="52"/>
      <c r="G223" s="52"/>
      <c r="H223" s="52"/>
      <c r="I223" s="52"/>
      <c r="J223" s="52"/>
      <c r="K223" s="52"/>
      <c r="L223" s="52"/>
      <c r="M223" s="52"/>
      <c r="N223" s="52"/>
      <c r="O223" s="52"/>
      <c r="P223" s="52"/>
      <c r="Q223" s="52"/>
      <c r="R223" s="52"/>
      <c r="S223" s="52"/>
      <c r="T223" s="52"/>
      <c r="U223" s="52"/>
      <c r="V223" s="52"/>
      <c r="W223" s="52"/>
      <c r="X223" s="52"/>
    </row>
    <row r="224" spans="1:24" s="51" customFormat="1" ht="18" customHeight="1" x14ac:dyDescent="0.2">
      <c r="A224" s="90"/>
      <c r="B224" s="1499"/>
      <c r="C224" s="1499"/>
      <c r="D224" s="1499"/>
      <c r="E224" s="1500"/>
      <c r="F224" s="1513" t="s">
        <v>1056</v>
      </c>
      <c r="G224" s="1513"/>
      <c r="H224" s="1513"/>
      <c r="I224" s="1513"/>
      <c r="J224" s="1513" t="s">
        <v>1057</v>
      </c>
      <c r="K224" s="1513"/>
      <c r="L224" s="1513"/>
      <c r="M224" s="1513"/>
      <c r="N224" s="1513" t="s">
        <v>1058</v>
      </c>
      <c r="O224" s="1513"/>
      <c r="P224" s="1513"/>
      <c r="Q224" s="911"/>
      <c r="R224" s="1513"/>
      <c r="S224" s="1513"/>
      <c r="T224" s="1513"/>
      <c r="U224" s="1513"/>
      <c r="V224" s="1513"/>
      <c r="W224" s="1513"/>
      <c r="X224" s="1513"/>
    </row>
    <row r="225" spans="1:24" s="51" customFormat="1" ht="36" customHeight="1" x14ac:dyDescent="0.2">
      <c r="A225" s="90"/>
      <c r="B225" s="1499" t="s">
        <v>167</v>
      </c>
      <c r="C225" s="1499"/>
      <c r="D225" s="1499"/>
      <c r="E225" s="1500"/>
      <c r="F225" s="1501">
        <v>100000</v>
      </c>
      <c r="G225" s="1501"/>
      <c r="H225" s="1501"/>
      <c r="I225" s="1501"/>
      <c r="J225" s="1501">
        <v>100000</v>
      </c>
      <c r="K225" s="1501"/>
      <c r="L225" s="1501"/>
      <c r="M225" s="1501"/>
      <c r="N225" s="1501">
        <v>100000</v>
      </c>
      <c r="O225" s="1501"/>
      <c r="P225" s="1501"/>
      <c r="Q225" s="912"/>
      <c r="R225" s="1502"/>
      <c r="S225" s="1503"/>
      <c r="T225" s="1503"/>
      <c r="U225" s="1503"/>
      <c r="V225" s="1503"/>
      <c r="W225" s="1503"/>
      <c r="X225" s="1503"/>
    </row>
    <row r="226" spans="1:24" s="51" customFormat="1" ht="36" customHeight="1" x14ac:dyDescent="0.2">
      <c r="A226" s="90"/>
      <c r="B226" s="1499" t="s">
        <v>168</v>
      </c>
      <c r="C226" s="1499"/>
      <c r="D226" s="1499"/>
      <c r="E226" s="1500"/>
      <c r="F226" s="1501">
        <v>100000</v>
      </c>
      <c r="G226" s="1501"/>
      <c r="H226" s="1501"/>
      <c r="I226" s="1501"/>
      <c r="J226" s="1501">
        <v>200000</v>
      </c>
      <c r="K226" s="1501"/>
      <c r="L226" s="1501"/>
      <c r="M226" s="1501"/>
      <c r="N226" s="1501">
        <v>300000</v>
      </c>
      <c r="O226" s="1501"/>
      <c r="P226" s="1501"/>
      <c r="Q226" s="912"/>
      <c r="R226" s="1502"/>
      <c r="S226" s="1503"/>
      <c r="T226" s="1503"/>
      <c r="U226" s="1503"/>
      <c r="V226" s="1503"/>
      <c r="W226" s="1503"/>
      <c r="X226" s="1503"/>
    </row>
    <row r="227" spans="1:24" s="51" customFormat="1" ht="18" customHeight="1" x14ac:dyDescent="0.2">
      <c r="A227" s="90"/>
      <c r="B227" s="52"/>
      <c r="C227" s="52"/>
      <c r="D227" s="52"/>
      <c r="E227" s="52"/>
      <c r="F227" s="52"/>
      <c r="G227" s="52"/>
      <c r="H227" s="52"/>
      <c r="I227" s="52"/>
      <c r="J227" s="52"/>
      <c r="K227" s="52"/>
      <c r="L227" s="52"/>
      <c r="M227" s="52"/>
      <c r="N227" s="52"/>
      <c r="O227" s="52"/>
      <c r="P227" s="52"/>
      <c r="Q227" s="52"/>
      <c r="R227" s="52"/>
      <c r="S227" s="52"/>
      <c r="T227" s="52"/>
      <c r="U227" s="52"/>
      <c r="V227" s="52"/>
      <c r="W227" s="52"/>
      <c r="X227" s="52"/>
    </row>
    <row r="228" spans="1:24" s="51" customFormat="1" ht="18" customHeight="1" x14ac:dyDescent="0.2">
      <c r="A228" s="90"/>
      <c r="B228" s="52" t="s">
        <v>169</v>
      </c>
      <c r="C228" s="52"/>
      <c r="D228" s="52"/>
      <c r="E228" s="52"/>
      <c r="F228" s="52"/>
      <c r="G228" s="52"/>
      <c r="H228" s="52"/>
      <c r="I228" s="52"/>
      <c r="J228" s="52"/>
      <c r="K228" s="52"/>
      <c r="L228" s="52"/>
      <c r="M228" s="52"/>
      <c r="N228" s="52"/>
      <c r="O228" s="52"/>
      <c r="P228" s="52"/>
      <c r="Q228" s="52"/>
      <c r="R228" s="52"/>
      <c r="S228" s="52"/>
      <c r="T228" s="52"/>
      <c r="U228" s="52"/>
      <c r="V228" s="52"/>
      <c r="W228" s="52"/>
      <c r="X228" s="52"/>
    </row>
    <row r="229" spans="1:24" s="51" customFormat="1" ht="18" customHeight="1" x14ac:dyDescent="0.2">
      <c r="A229" s="90"/>
      <c r="B229" s="54" t="s">
        <v>1059</v>
      </c>
      <c r="C229" s="54"/>
      <c r="D229" s="107"/>
      <c r="E229" s="107"/>
      <c r="F229" s="1511" t="s">
        <v>2371</v>
      </c>
      <c r="G229" s="1511"/>
      <c r="H229" s="1511"/>
      <c r="I229" s="1511"/>
      <c r="J229" s="107" t="s">
        <v>1060</v>
      </c>
      <c r="K229" s="107"/>
      <c r="L229" s="107"/>
      <c r="M229" s="107"/>
      <c r="N229"/>
      <c r="O229"/>
      <c r="P229"/>
      <c r="Q229"/>
      <c r="R229"/>
      <c r="S229"/>
      <c r="T229"/>
      <c r="U229"/>
      <c r="V229" s="52"/>
      <c r="W229" s="52"/>
      <c r="X229" s="52"/>
    </row>
    <row r="230" spans="1:24" s="51" customFormat="1" ht="18" customHeight="1" x14ac:dyDescent="0.2">
      <c r="A230" s="90"/>
      <c r="B230" s="54" t="s">
        <v>2370</v>
      </c>
      <c r="C230" s="107"/>
      <c r="D230" s="107"/>
      <c r="E230" s="107"/>
      <c r="F230" s="107"/>
      <c r="G230" s="107"/>
      <c r="H230" s="107"/>
      <c r="I230" s="107"/>
      <c r="J230" s="1018">
        <v>300000</v>
      </c>
      <c r="K230" s="107" t="s">
        <v>780</v>
      </c>
      <c r="L230" s="107"/>
      <c r="M230" s="107"/>
      <c r="N230" s="107"/>
      <c r="O230" s="107"/>
      <c r="P230" s="107"/>
      <c r="Q230"/>
      <c r="R230"/>
      <c r="S230"/>
      <c r="T230"/>
      <c r="U230"/>
      <c r="V230" s="52"/>
      <c r="W230" s="52"/>
      <c r="X230" s="52"/>
    </row>
    <row r="231" spans="1:24" s="51" customFormat="1" ht="18" customHeight="1" x14ac:dyDescent="0.2">
      <c r="A231" s="90"/>
      <c r="B231" s="54" t="s">
        <v>2001</v>
      </c>
      <c r="C231" s="107"/>
      <c r="D231" s="107"/>
      <c r="E231" s="107"/>
      <c r="F231" s="1389" t="s">
        <v>2002</v>
      </c>
      <c r="G231" s="1389"/>
      <c r="H231" s="1389"/>
      <c r="I231" s="1389"/>
      <c r="J231" s="1389"/>
      <c r="K231" s="1389"/>
      <c r="L231" s="1389"/>
      <c r="M231" s="1389"/>
      <c r="N231" s="1389"/>
      <c r="O231" s="1389"/>
      <c r="P231" s="1389"/>
      <c r="Q231" s="1389"/>
      <c r="R231" s="1389"/>
      <c r="S231" s="1389"/>
      <c r="T231" s="1389"/>
      <c r="U231" s="1389"/>
      <c r="V231" s="1389"/>
      <c r="W231" s="1389"/>
      <c r="X231" s="1389"/>
    </row>
    <row r="232" spans="1:24" ht="18" customHeight="1" x14ac:dyDescent="0.15">
      <c r="A232" s="90"/>
      <c r="B232" s="52"/>
      <c r="C232" s="52"/>
      <c r="D232" s="52"/>
      <c r="E232" s="52"/>
      <c r="F232" s="52" t="s">
        <v>2000</v>
      </c>
      <c r="G232" s="52"/>
      <c r="H232" s="52"/>
      <c r="I232" s="52"/>
      <c r="J232" s="52"/>
      <c r="K232" s="52"/>
      <c r="L232" s="52"/>
      <c r="M232" s="52"/>
      <c r="N232" s="52"/>
      <c r="O232" s="52"/>
      <c r="P232" s="52"/>
      <c r="Q232" s="52"/>
      <c r="R232" s="52"/>
      <c r="S232" s="52"/>
      <c r="T232" s="52"/>
      <c r="U232" s="52"/>
      <c r="V232" s="52"/>
      <c r="W232" s="52"/>
      <c r="X232" s="52"/>
    </row>
    <row r="233" spans="1:24" ht="18" customHeight="1" x14ac:dyDescent="0.15">
      <c r="A233" s="90" t="s">
        <v>170</v>
      </c>
      <c r="B233" s="52"/>
      <c r="C233" s="52"/>
      <c r="D233" s="52"/>
      <c r="E233" s="52"/>
      <c r="F233" s="52"/>
      <c r="G233" s="52"/>
      <c r="H233" s="52"/>
      <c r="I233" s="52"/>
      <c r="J233" s="52"/>
      <c r="K233" s="52"/>
      <c r="L233" s="52"/>
      <c r="M233" s="52"/>
      <c r="N233" s="52"/>
      <c r="O233" s="52"/>
      <c r="P233" s="52"/>
      <c r="Q233" s="52"/>
      <c r="R233" s="52"/>
      <c r="S233" s="52"/>
      <c r="T233" s="52"/>
      <c r="U233" s="52"/>
      <c r="V233" s="52"/>
      <c r="W233" s="52"/>
      <c r="X233" s="52"/>
    </row>
    <row r="234" spans="1:24" s="51" customFormat="1" ht="18" customHeight="1" x14ac:dyDescent="0.2">
      <c r="A234" s="90"/>
      <c r="B234" s="107" t="s">
        <v>1061</v>
      </c>
      <c r="C234" s="107"/>
      <c r="D234" s="107"/>
      <c r="E234" s="107"/>
      <c r="F234" s="1511"/>
      <c r="G234" s="1511"/>
      <c r="H234" s="1511"/>
      <c r="I234" s="1511"/>
      <c r="J234" s="107" t="s">
        <v>1062</v>
      </c>
      <c r="K234" s="107"/>
      <c r="L234" s="107"/>
      <c r="M234" s="107"/>
      <c r="N234"/>
      <c r="O234"/>
      <c r="P234"/>
      <c r="Q234"/>
      <c r="R234"/>
      <c r="S234"/>
      <c r="T234"/>
      <c r="U234"/>
      <c r="V234" s="52"/>
      <c r="W234" s="52"/>
      <c r="X234" s="52"/>
    </row>
    <row r="235" spans="1:24" s="51" customFormat="1" ht="18" customHeight="1" x14ac:dyDescent="0.2">
      <c r="A235" s="90"/>
      <c r="B235" s="107" t="s">
        <v>1063</v>
      </c>
      <c r="C235" s="107"/>
      <c r="D235" s="107"/>
      <c r="E235" s="107"/>
      <c r="F235" s="107"/>
      <c r="G235" s="107"/>
      <c r="H235" s="107"/>
      <c r="I235" s="1018">
        <v>300000</v>
      </c>
      <c r="J235" s="107" t="s">
        <v>780</v>
      </c>
      <c r="K235" s="107"/>
      <c r="L235" s="107"/>
      <c r="M235" s="107"/>
      <c r="N235" s="107"/>
      <c r="O235" s="107"/>
      <c r="P235" s="107"/>
      <c r="Q235"/>
      <c r="R235"/>
      <c r="S235"/>
      <c r="T235"/>
      <c r="U235"/>
      <c r="V235" s="52"/>
      <c r="W235" s="52"/>
      <c r="X235" s="52"/>
    </row>
    <row r="236" spans="1:24" s="51" customFormat="1" ht="18" customHeight="1" x14ac:dyDescent="0.2">
      <c r="A236" s="90"/>
      <c r="B236" s="107" t="s">
        <v>2001</v>
      </c>
      <c r="C236" s="107"/>
      <c r="D236" s="107"/>
      <c r="E236" s="107"/>
      <c r="F236" s="1389" t="s">
        <v>1999</v>
      </c>
      <c r="G236" s="1389"/>
      <c r="H236" s="1389"/>
      <c r="I236" s="1389"/>
      <c r="J236" s="1389"/>
      <c r="K236" s="1389"/>
      <c r="L236" s="1389"/>
      <c r="M236" s="1389"/>
      <c r="N236" s="1389"/>
      <c r="O236" s="1389"/>
      <c r="P236" s="1389"/>
      <c r="Q236" s="1389"/>
      <c r="R236" s="1389"/>
      <c r="S236" s="1389"/>
      <c r="T236" s="1389"/>
      <c r="U236" s="1389"/>
      <c r="V236" s="1389"/>
      <c r="W236" s="1389"/>
      <c r="X236" s="1389"/>
    </row>
    <row r="237" spans="1:24" ht="18" customHeight="1" x14ac:dyDescent="0.15">
      <c r="A237" s="90"/>
      <c r="B237" s="52"/>
      <c r="C237" s="52"/>
      <c r="D237" s="52"/>
      <c r="E237" s="52"/>
      <c r="F237" s="52" t="s">
        <v>2000</v>
      </c>
      <c r="G237" s="52"/>
      <c r="H237" s="52"/>
      <c r="I237" s="52"/>
      <c r="J237" s="52"/>
      <c r="K237" s="52"/>
      <c r="L237" s="52"/>
      <c r="M237" s="52"/>
      <c r="N237" s="52"/>
      <c r="O237" s="52"/>
      <c r="P237" s="52"/>
      <c r="Q237" s="52"/>
      <c r="R237" s="52"/>
      <c r="S237" s="52"/>
      <c r="T237" s="52"/>
      <c r="U237" s="52"/>
      <c r="V237" s="52"/>
      <c r="W237" s="52"/>
      <c r="X237" s="52"/>
    </row>
    <row r="238" spans="1:24" ht="18" customHeight="1" x14ac:dyDescent="0.15">
      <c r="A238" s="90" t="s">
        <v>171</v>
      </c>
      <c r="B238" s="52"/>
      <c r="C238" s="52"/>
      <c r="D238" s="52"/>
      <c r="E238" s="52"/>
      <c r="F238" s="52"/>
      <c r="G238" s="52"/>
      <c r="H238" s="52"/>
      <c r="I238" s="52"/>
      <c r="J238" s="52"/>
      <c r="K238" s="52"/>
      <c r="L238" s="52"/>
      <c r="M238" s="52"/>
      <c r="N238" s="52"/>
      <c r="O238" s="52"/>
      <c r="P238" s="52"/>
      <c r="Q238" s="52"/>
      <c r="R238" s="52"/>
      <c r="S238" s="52"/>
      <c r="T238" s="52"/>
      <c r="U238" s="52"/>
      <c r="V238" s="52"/>
      <c r="W238" s="52"/>
      <c r="X238" s="52"/>
    </row>
    <row r="239" spans="1:24" ht="18" customHeight="1" x14ac:dyDescent="0.15">
      <c r="A239" s="1479" t="s">
        <v>172</v>
      </c>
      <c r="B239" s="1480"/>
      <c r="C239" s="1480"/>
      <c r="D239" s="1480"/>
      <c r="E239" s="1480"/>
      <c r="F239" s="1480"/>
      <c r="G239" s="1480"/>
      <c r="H239" s="1480"/>
      <c r="I239" s="1480"/>
      <c r="J239" s="1480"/>
      <c r="K239" s="1480"/>
      <c r="L239" s="113"/>
      <c r="M239" s="1481" t="s">
        <v>155</v>
      </c>
      <c r="N239" s="1481"/>
      <c r="O239" s="1481"/>
      <c r="P239" s="1481"/>
      <c r="Q239" s="1481"/>
      <c r="R239" s="1481"/>
      <c r="S239" s="1481"/>
      <c r="T239" s="1481"/>
      <c r="U239" s="1481"/>
      <c r="V239" s="1481"/>
      <c r="W239" s="1481"/>
      <c r="X239" s="1481"/>
    </row>
    <row r="240" spans="1:24" ht="18" customHeight="1" x14ac:dyDescent="0.15">
      <c r="A240" s="1480"/>
      <c r="B240" s="1480"/>
      <c r="C240" s="1480"/>
      <c r="D240" s="1480"/>
      <c r="E240" s="1480"/>
      <c r="F240" s="1480"/>
      <c r="G240" s="1480"/>
      <c r="H240" s="1480"/>
      <c r="I240" s="1480"/>
      <c r="J240" s="1480"/>
      <c r="K240" s="1417"/>
      <c r="L240" s="114"/>
      <c r="M240" s="1485" t="s">
        <v>286</v>
      </c>
      <c r="N240" s="1486"/>
      <c r="O240" s="1486"/>
      <c r="P240" s="1486"/>
      <c r="Q240" s="1486"/>
      <c r="R240" s="1486"/>
      <c r="S240" s="1486"/>
      <c r="T240" s="1486"/>
      <c r="U240" s="1487">
        <f>IFERROR($M$241/($I$63+$N$63+$S$63+$X$63+$T$71+$S$80+$S$88+$P$110+$P$119),"")</f>
        <v>3.273381353837794E-2</v>
      </c>
      <c r="V240" s="1488"/>
      <c r="W240" s="1488"/>
      <c r="X240" s="115" t="s">
        <v>285</v>
      </c>
    </row>
    <row r="241" spans="1:24" ht="36" customHeight="1" x14ac:dyDescent="0.15">
      <c r="A241" s="1480"/>
      <c r="B241" s="1480"/>
      <c r="C241" s="1480"/>
      <c r="D241" s="1480"/>
      <c r="E241" s="1480"/>
      <c r="F241" s="1480"/>
      <c r="G241" s="1480"/>
      <c r="H241" s="1480"/>
      <c r="I241" s="1480"/>
      <c r="J241" s="1480"/>
      <c r="K241" s="1417"/>
      <c r="L241" s="114"/>
      <c r="M241" s="1482">
        <v>40000</v>
      </c>
      <c r="N241" s="1483"/>
      <c r="O241" s="1483"/>
      <c r="P241" s="1483"/>
      <c r="Q241" s="1483"/>
      <c r="R241" s="1483"/>
      <c r="S241" s="1483"/>
      <c r="T241" s="1483"/>
      <c r="U241" s="1483"/>
      <c r="V241" s="1483"/>
      <c r="W241" s="1483"/>
      <c r="X241" s="1484"/>
    </row>
    <row r="242" spans="1:24" ht="18" customHeight="1" x14ac:dyDescent="0.15">
      <c r="A242" s="90"/>
      <c r="B242" s="52"/>
      <c r="C242" s="52"/>
      <c r="D242" s="52"/>
      <c r="E242" s="52"/>
      <c r="F242" s="52"/>
      <c r="G242" s="52"/>
      <c r="H242" s="52"/>
      <c r="I242" s="52"/>
      <c r="J242" s="52"/>
      <c r="K242" s="52"/>
      <c r="L242" s="52"/>
      <c r="M242" s="52"/>
      <c r="N242" s="52"/>
      <c r="O242" s="52"/>
      <c r="P242" s="52"/>
      <c r="Q242" s="52"/>
      <c r="R242" s="52"/>
      <c r="S242" s="52"/>
      <c r="T242" s="52"/>
      <c r="U242" s="52"/>
      <c r="V242" s="52"/>
      <c r="W242" s="52"/>
      <c r="X242" s="52"/>
    </row>
    <row r="243" spans="1:24" ht="18" customHeight="1" x14ac:dyDescent="0.15">
      <c r="A243" s="90" t="s">
        <v>328</v>
      </c>
      <c r="B243" s="52"/>
      <c r="C243" s="52"/>
      <c r="D243" s="52"/>
      <c r="E243" s="52"/>
      <c r="F243" s="52"/>
      <c r="G243" s="52"/>
      <c r="H243" s="52"/>
      <c r="I243" s="52"/>
      <c r="J243" s="52"/>
      <c r="K243" s="52"/>
      <c r="L243" s="52"/>
      <c r="M243" s="52"/>
      <c r="N243" s="52"/>
      <c r="O243" s="52"/>
      <c r="P243" s="52"/>
      <c r="Q243" s="52"/>
      <c r="R243" s="52"/>
      <c r="S243" s="52"/>
      <c r="T243" s="52"/>
      <c r="U243" s="52"/>
      <c r="V243" s="52"/>
      <c r="W243" s="52"/>
      <c r="X243" s="52"/>
    </row>
    <row r="244" spans="1:24" ht="18" customHeight="1" x14ac:dyDescent="0.15">
      <c r="A244" s="90"/>
      <c r="B244" s="52"/>
      <c r="C244" s="52"/>
      <c r="D244" s="52"/>
      <c r="E244" s="52"/>
      <c r="F244" s="52"/>
      <c r="G244" s="52"/>
      <c r="H244" s="52"/>
      <c r="I244" s="52"/>
      <c r="J244" s="52"/>
      <c r="K244" s="52"/>
      <c r="L244" s="52"/>
      <c r="M244" s="52"/>
      <c r="N244" s="52"/>
      <c r="O244" s="52"/>
      <c r="P244" s="52"/>
      <c r="Q244" s="52"/>
      <c r="R244" s="52"/>
      <c r="S244" s="52"/>
      <c r="T244" s="52"/>
      <c r="U244" s="52"/>
      <c r="V244" s="52"/>
      <c r="W244" s="52"/>
      <c r="X244" s="52"/>
    </row>
    <row r="245" spans="1:24" ht="18" customHeight="1" x14ac:dyDescent="0.15">
      <c r="A245" s="90" t="s">
        <v>329</v>
      </c>
      <c r="B245" s="52"/>
      <c r="C245" s="52"/>
      <c r="D245" s="52"/>
      <c r="E245" s="52"/>
      <c r="F245" s="52"/>
      <c r="G245" s="52"/>
      <c r="H245" s="52"/>
      <c r="I245" s="52"/>
      <c r="J245" s="52"/>
      <c r="K245" s="52"/>
      <c r="L245" s="52"/>
      <c r="M245" s="52"/>
      <c r="N245" s="52"/>
      <c r="O245" s="52"/>
      <c r="P245" s="52"/>
      <c r="Q245" s="52"/>
      <c r="R245" s="52"/>
      <c r="S245" s="52"/>
      <c r="T245" s="52"/>
      <c r="U245" s="52"/>
      <c r="V245" s="52"/>
      <c r="W245" s="52"/>
      <c r="X245" s="52"/>
    </row>
    <row r="246" spans="1:24" ht="18" customHeight="1" x14ac:dyDescent="0.15">
      <c r="A246" s="90"/>
      <c r="B246" s="52" t="s">
        <v>846</v>
      </c>
      <c r="C246" s="52"/>
      <c r="D246" s="52"/>
      <c r="E246" s="52"/>
      <c r="F246" s="52"/>
      <c r="G246" s="52"/>
      <c r="H246" s="52"/>
      <c r="I246" s="52"/>
      <c r="J246" s="52"/>
      <c r="K246" s="52"/>
      <c r="L246" s="52"/>
      <c r="M246" s="52"/>
      <c r="N246" s="52"/>
      <c r="O246" s="52"/>
      <c r="P246" s="52"/>
      <c r="Q246" s="52"/>
      <c r="R246" s="52"/>
      <c r="S246" s="52"/>
      <c r="T246" s="52"/>
      <c r="U246" s="52"/>
      <c r="V246" s="52"/>
      <c r="W246" s="52"/>
      <c r="X246" s="52"/>
    </row>
    <row r="247" spans="1:24" ht="18" customHeight="1" x14ac:dyDescent="0.15">
      <c r="A247" s="1480" t="s">
        <v>95</v>
      </c>
      <c r="B247" s="1480"/>
      <c r="C247" s="1480"/>
      <c r="D247" s="1517" t="s">
        <v>330</v>
      </c>
      <c r="E247" s="1517"/>
      <c r="F247" s="1517"/>
      <c r="G247" s="1517"/>
      <c r="H247" s="1517"/>
      <c r="I247" s="1517"/>
      <c r="J247" s="1517"/>
      <c r="K247" s="1517"/>
      <c r="L247" s="1517"/>
      <c r="M247" s="1517"/>
      <c r="N247" s="1517"/>
      <c r="O247" s="1517"/>
      <c r="P247" s="1517"/>
      <c r="Q247" s="1517"/>
      <c r="R247" s="1517"/>
      <c r="S247" s="1517"/>
      <c r="T247" s="1517"/>
      <c r="U247" s="52"/>
      <c r="V247" s="52"/>
      <c r="W247" s="52"/>
      <c r="X247" s="52"/>
    </row>
    <row r="248" spans="1:24" ht="37.9" customHeight="1" x14ac:dyDescent="0.15">
      <c r="A248" s="1509" t="str">
        <f>別紙２①!$G$6</f>
        <v>〇</v>
      </c>
      <c r="B248" s="1509"/>
      <c r="C248" s="1509"/>
      <c r="D248" s="1510" t="s">
        <v>847</v>
      </c>
      <c r="E248" s="1510"/>
      <c r="F248" s="1510"/>
      <c r="G248" s="1510"/>
      <c r="H248" s="1510"/>
      <c r="I248" s="1510"/>
      <c r="J248" s="1510"/>
      <c r="K248" s="1510"/>
      <c r="L248" s="1510"/>
      <c r="M248" s="1510"/>
      <c r="N248" s="1510"/>
      <c r="O248" s="1510"/>
      <c r="P248" s="1510"/>
      <c r="Q248" s="1510"/>
      <c r="R248" s="1510"/>
      <c r="S248" s="1510"/>
      <c r="T248" s="1510"/>
      <c r="U248" s="52"/>
      <c r="V248" s="52"/>
      <c r="W248" s="52"/>
      <c r="X248" s="52"/>
    </row>
    <row r="249" spans="1:24" ht="18" customHeight="1" x14ac:dyDescent="0.15">
      <c r="A249" s="90"/>
      <c r="B249" s="52"/>
      <c r="C249" s="52"/>
      <c r="D249" s="52"/>
      <c r="E249" s="52"/>
      <c r="F249" s="52"/>
      <c r="G249" s="52"/>
      <c r="H249" s="52"/>
      <c r="I249" s="52"/>
      <c r="J249" s="52"/>
      <c r="K249" s="52"/>
      <c r="L249" s="52"/>
      <c r="M249" s="52"/>
      <c r="N249" s="52"/>
      <c r="O249" s="52"/>
      <c r="P249" s="52"/>
      <c r="Q249" s="52"/>
      <c r="R249" s="52"/>
      <c r="S249" s="52"/>
      <c r="T249" s="52"/>
      <c r="U249" s="52"/>
      <c r="V249" s="52"/>
      <c r="W249" s="52"/>
      <c r="X249" s="52"/>
    </row>
    <row r="250" spans="1:24" ht="18" customHeight="1" x14ac:dyDescent="0.15">
      <c r="A250" s="90"/>
      <c r="B250" s="52"/>
      <c r="C250" s="52"/>
      <c r="D250" s="52"/>
      <c r="E250" s="52"/>
      <c r="F250" s="52"/>
      <c r="G250" s="52"/>
      <c r="H250" s="52"/>
      <c r="I250" s="52"/>
      <c r="J250" s="52"/>
      <c r="K250" s="52"/>
      <c r="L250" s="52"/>
      <c r="M250" s="52"/>
      <c r="N250" s="52"/>
      <c r="O250" s="52"/>
      <c r="P250" s="52"/>
      <c r="Q250" s="52"/>
      <c r="R250" s="52"/>
      <c r="S250" s="52"/>
      <c r="T250" s="52"/>
      <c r="U250" s="52"/>
      <c r="V250" s="52"/>
      <c r="W250" s="52"/>
      <c r="X250" s="52"/>
    </row>
    <row r="251" spans="1:24" ht="18" customHeight="1" x14ac:dyDescent="0.15">
      <c r="A251" s="90" t="s">
        <v>173</v>
      </c>
      <c r="B251" s="52"/>
      <c r="C251" s="52"/>
      <c r="D251" s="52"/>
      <c r="E251" s="52"/>
      <c r="F251" s="52"/>
      <c r="G251" s="52"/>
      <c r="H251" s="52"/>
      <c r="I251" s="52"/>
      <c r="J251" s="52"/>
      <c r="K251" s="52"/>
      <c r="L251" s="52"/>
      <c r="M251" s="52"/>
      <c r="N251" s="52"/>
      <c r="O251" s="52"/>
      <c r="P251" s="52"/>
      <c r="Q251" s="52"/>
      <c r="R251" s="52"/>
      <c r="S251" s="52"/>
      <c r="T251" s="52"/>
      <c r="U251" s="52"/>
      <c r="V251" s="52"/>
      <c r="W251" s="52"/>
      <c r="X251" s="52"/>
    </row>
    <row r="252" spans="1:24" ht="8.4499999999999993" customHeight="1" x14ac:dyDescent="0.15">
      <c r="A252" s="90"/>
      <c r="B252" s="52"/>
      <c r="C252" s="52"/>
      <c r="D252" s="52"/>
      <c r="E252" s="52"/>
      <c r="F252" s="52"/>
      <c r="G252" s="52"/>
      <c r="H252" s="52"/>
      <c r="I252" s="52"/>
      <c r="J252" s="52"/>
      <c r="K252" s="52"/>
      <c r="L252" s="52"/>
      <c r="M252" s="52"/>
      <c r="N252" s="52"/>
      <c r="O252" s="52"/>
      <c r="P252" s="52"/>
      <c r="Q252" s="52"/>
      <c r="R252" s="52"/>
      <c r="S252" s="52"/>
      <c r="T252" s="52"/>
      <c r="U252" s="52"/>
      <c r="V252" s="52"/>
      <c r="W252" s="52"/>
      <c r="X252" s="52"/>
    </row>
    <row r="253" spans="1:24" ht="18" customHeight="1" x14ac:dyDescent="0.15">
      <c r="A253" s="90" t="s">
        <v>331</v>
      </c>
      <c r="B253" s="52"/>
      <c r="C253" s="52"/>
      <c r="D253" s="52"/>
      <c r="E253" s="52"/>
      <c r="F253" s="52"/>
      <c r="G253" s="52"/>
      <c r="H253" s="52"/>
      <c r="I253" s="52"/>
      <c r="J253" s="52"/>
      <c r="K253" s="52"/>
      <c r="L253" s="52"/>
      <c r="M253" s="52"/>
      <c r="N253" s="52"/>
      <c r="O253" s="52"/>
      <c r="P253" s="52"/>
      <c r="Q253" s="52"/>
      <c r="R253" s="52"/>
      <c r="S253" s="52"/>
      <c r="T253" s="52"/>
      <c r="U253" s="52"/>
      <c r="V253" s="52"/>
      <c r="W253" s="52"/>
      <c r="X253" s="52"/>
    </row>
    <row r="254" spans="1:24" ht="36" customHeight="1" x14ac:dyDescent="0.15">
      <c r="A254" s="90"/>
      <c r="B254" s="1506" t="s">
        <v>174</v>
      </c>
      <c r="C254" s="1506"/>
      <c r="D254" s="1506"/>
      <c r="E254" s="1506"/>
      <c r="F254" s="1506"/>
      <c r="G254" s="1506"/>
      <c r="H254" s="1506"/>
      <c r="I254" s="1506"/>
      <c r="J254" s="1506"/>
      <c r="K254" s="1506"/>
      <c r="L254" s="1506"/>
      <c r="M254" s="1506"/>
      <c r="N254" s="1506"/>
      <c r="O254" s="1506"/>
      <c r="P254" s="1506"/>
      <c r="Q254" s="1506"/>
      <c r="R254" s="1506"/>
      <c r="S254" s="1506"/>
      <c r="T254" s="1506"/>
      <c r="U254" s="1506"/>
      <c r="V254" s="1506"/>
      <c r="W254" s="1506"/>
      <c r="X254" s="1506"/>
    </row>
    <row r="255" spans="1:24" ht="18" customHeight="1" x14ac:dyDescent="0.15">
      <c r="A255" s="1507" t="s">
        <v>95</v>
      </c>
      <c r="B255" s="1507"/>
      <c r="C255" s="1508" t="s">
        <v>175</v>
      </c>
      <c r="D255" s="1508"/>
      <c r="E255" s="1508"/>
      <c r="F255" s="1508"/>
      <c r="G255" s="1508"/>
      <c r="H255" s="1508"/>
      <c r="I255" s="1508" t="s">
        <v>176</v>
      </c>
      <c r="J255" s="1508"/>
      <c r="K255" s="1508"/>
      <c r="L255" s="116"/>
      <c r="M255" s="1508" t="s">
        <v>177</v>
      </c>
      <c r="N255" s="1508"/>
      <c r="O255" s="1508"/>
      <c r="P255" s="1508"/>
      <c r="Q255" s="1508"/>
      <c r="R255" s="1508"/>
      <c r="S255" s="1508" t="s">
        <v>178</v>
      </c>
      <c r="T255" s="1508"/>
      <c r="U255" s="1508"/>
      <c r="V255" s="1508"/>
      <c r="W255" s="1508"/>
      <c r="X255" s="1508"/>
    </row>
    <row r="256" spans="1:24" ht="20.45" customHeight="1" x14ac:dyDescent="0.15">
      <c r="A256" s="1456" t="str">
        <f>IF(T71&gt;0,"〇","")</f>
        <v/>
      </c>
      <c r="B256" s="1457"/>
      <c r="C256" s="1458" t="s">
        <v>179</v>
      </c>
      <c r="D256" s="1458"/>
      <c r="E256" s="1458"/>
      <c r="F256" s="1458"/>
      <c r="G256" s="1458"/>
      <c r="H256" s="1458"/>
      <c r="I256" s="117" t="s">
        <v>65</v>
      </c>
      <c r="J256" s="766">
        <v>7</v>
      </c>
      <c r="K256" s="118" t="s">
        <v>287</v>
      </c>
      <c r="L256" s="119"/>
      <c r="M256" s="1467" t="s">
        <v>848</v>
      </c>
      <c r="N256" s="1504"/>
      <c r="O256" s="1504"/>
      <c r="P256" s="1504"/>
      <c r="Q256" s="1504"/>
      <c r="R256" s="1505"/>
      <c r="S256" s="2586" t="s">
        <v>2440</v>
      </c>
      <c r="T256" s="2587"/>
      <c r="U256" s="2587"/>
      <c r="V256" s="2587"/>
      <c r="W256" s="2587"/>
      <c r="X256" s="2588"/>
    </row>
    <row r="257" spans="1:24" ht="16.149999999999999" customHeight="1" x14ac:dyDescent="0.15">
      <c r="A257" s="1464"/>
      <c r="B257" s="1465"/>
      <c r="C257" s="1466"/>
      <c r="D257" s="1466"/>
      <c r="E257" s="1466"/>
      <c r="F257" s="1466"/>
      <c r="G257" s="1466"/>
      <c r="H257" s="1466"/>
      <c r="I257" s="120"/>
      <c r="J257" s="121" t="s">
        <v>288</v>
      </c>
      <c r="K257" s="122"/>
      <c r="L257" s="123"/>
      <c r="M257" s="1470"/>
      <c r="N257" s="1471"/>
      <c r="O257" s="1471"/>
      <c r="P257" s="1471"/>
      <c r="Q257" s="1471"/>
      <c r="R257" s="1472"/>
      <c r="S257" s="2589"/>
      <c r="T257" s="2590"/>
      <c r="U257" s="2590"/>
      <c r="V257" s="2590"/>
      <c r="W257" s="2590"/>
      <c r="X257" s="2591"/>
    </row>
    <row r="258" spans="1:24" ht="22.9" customHeight="1" x14ac:dyDescent="0.15">
      <c r="A258" s="1464"/>
      <c r="B258" s="1465"/>
      <c r="C258" s="1466"/>
      <c r="D258" s="1466"/>
      <c r="E258" s="1466"/>
      <c r="F258" s="1466"/>
      <c r="G258" s="1466"/>
      <c r="H258" s="1466"/>
      <c r="I258" s="124" t="s">
        <v>65</v>
      </c>
      <c r="J258" s="765">
        <v>11</v>
      </c>
      <c r="K258" s="125" t="s">
        <v>287</v>
      </c>
      <c r="L258" s="123"/>
      <c r="M258" s="1470"/>
      <c r="N258" s="1471"/>
      <c r="O258" s="1471"/>
      <c r="P258" s="1471"/>
      <c r="Q258" s="1471"/>
      <c r="R258" s="1472"/>
      <c r="S258" s="2589"/>
      <c r="T258" s="2590"/>
      <c r="U258" s="2590"/>
      <c r="V258" s="2590"/>
      <c r="W258" s="2590"/>
      <c r="X258" s="2591"/>
    </row>
    <row r="259" spans="1:24" ht="46.15" customHeight="1" x14ac:dyDescent="0.15">
      <c r="A259" s="1464" t="str">
        <f>IF(S70&gt;0,"〇","")</f>
        <v/>
      </c>
      <c r="B259" s="1465"/>
      <c r="C259" s="1466"/>
      <c r="D259" s="1466"/>
      <c r="E259" s="1466"/>
      <c r="F259" s="1466"/>
      <c r="G259" s="1466"/>
      <c r="H259" s="1466"/>
      <c r="I259" s="1494"/>
      <c r="J259" s="1495"/>
      <c r="K259" s="1496"/>
      <c r="L259" s="123"/>
      <c r="M259" s="1470"/>
      <c r="N259" s="1471"/>
      <c r="O259" s="1471"/>
      <c r="P259" s="1471"/>
      <c r="Q259" s="1471"/>
      <c r="R259" s="1472"/>
      <c r="S259" s="2592"/>
      <c r="T259" s="2593"/>
      <c r="U259" s="2593"/>
      <c r="V259" s="2593"/>
      <c r="W259" s="2593"/>
      <c r="X259" s="2594"/>
    </row>
    <row r="260" spans="1:24" ht="62.25" customHeight="1" x14ac:dyDescent="0.15">
      <c r="A260" s="1464"/>
      <c r="B260" s="1465"/>
      <c r="C260" s="1466"/>
      <c r="D260" s="1466"/>
      <c r="E260" s="1466"/>
      <c r="F260" s="1466"/>
      <c r="G260" s="1466"/>
      <c r="H260" s="1466"/>
      <c r="I260" s="1494"/>
      <c r="J260" s="1495"/>
      <c r="K260" s="1496"/>
      <c r="L260" s="123"/>
      <c r="M260" s="1470"/>
      <c r="N260" s="1471"/>
      <c r="O260" s="1471"/>
      <c r="P260" s="1471"/>
      <c r="Q260" s="1471"/>
      <c r="R260" s="1472"/>
      <c r="S260" s="2595" t="s">
        <v>2441</v>
      </c>
      <c r="T260" s="2596"/>
      <c r="U260" s="2596"/>
      <c r="V260" s="2596"/>
      <c r="W260" s="2596"/>
      <c r="X260" s="2597"/>
    </row>
    <row r="261" spans="1:24" ht="102" customHeight="1" x14ac:dyDescent="0.15">
      <c r="A261" s="1461"/>
      <c r="B261" s="1462"/>
      <c r="C261" s="1463"/>
      <c r="D261" s="1463"/>
      <c r="E261" s="1463"/>
      <c r="F261" s="1463"/>
      <c r="G261" s="1463"/>
      <c r="H261" s="1463"/>
      <c r="I261" s="1476"/>
      <c r="J261" s="1497"/>
      <c r="K261" s="1498"/>
      <c r="L261" s="126"/>
      <c r="M261" s="1473"/>
      <c r="N261" s="1474"/>
      <c r="O261" s="1474"/>
      <c r="P261" s="1474"/>
      <c r="Q261" s="1474"/>
      <c r="R261" s="1475"/>
      <c r="S261" s="2595" t="s">
        <v>2442</v>
      </c>
      <c r="T261" s="2596"/>
      <c r="U261" s="2596"/>
      <c r="V261" s="2596"/>
      <c r="W261" s="2596"/>
      <c r="X261" s="2597"/>
    </row>
    <row r="262" spans="1:24" ht="21.6" customHeight="1" x14ac:dyDescent="0.15">
      <c r="A262" s="1456" t="str">
        <f>IF(S80&gt;0,"〇","")</f>
        <v>〇</v>
      </c>
      <c r="B262" s="1457"/>
      <c r="C262" s="1458" t="s">
        <v>180</v>
      </c>
      <c r="D262" s="1458"/>
      <c r="E262" s="1458"/>
      <c r="F262" s="1458"/>
      <c r="G262" s="1458"/>
      <c r="H262" s="1458"/>
      <c r="I262" s="117" t="s">
        <v>65</v>
      </c>
      <c r="J262" s="766">
        <v>7</v>
      </c>
      <c r="K262" s="118" t="s">
        <v>287</v>
      </c>
      <c r="L262" s="127"/>
      <c r="M262" s="1467" t="s">
        <v>181</v>
      </c>
      <c r="N262" s="1468"/>
      <c r="O262" s="1468"/>
      <c r="P262" s="1468"/>
      <c r="Q262" s="1468"/>
      <c r="R262" s="1469"/>
      <c r="S262" s="2586" t="s">
        <v>2443</v>
      </c>
      <c r="T262" s="2598"/>
      <c r="U262" s="2598"/>
      <c r="V262" s="2598"/>
      <c r="W262" s="2598"/>
      <c r="X262" s="2599"/>
    </row>
    <row r="263" spans="1:24" ht="21.6" customHeight="1" x14ac:dyDescent="0.15">
      <c r="A263" s="1464"/>
      <c r="B263" s="1465"/>
      <c r="C263" s="1466"/>
      <c r="D263" s="1466"/>
      <c r="E263" s="1466"/>
      <c r="F263" s="1466"/>
      <c r="G263" s="1466"/>
      <c r="H263" s="1466"/>
      <c r="I263" s="120"/>
      <c r="J263" s="121" t="s">
        <v>288</v>
      </c>
      <c r="K263" s="122"/>
      <c r="L263" s="127"/>
      <c r="M263" s="1470"/>
      <c r="N263" s="1471"/>
      <c r="O263" s="1471"/>
      <c r="P263" s="1471"/>
      <c r="Q263" s="1471"/>
      <c r="R263" s="1472"/>
      <c r="S263" s="2589"/>
      <c r="T263" s="2590"/>
      <c r="U263" s="2590"/>
      <c r="V263" s="2590"/>
      <c r="W263" s="2590"/>
      <c r="X263" s="2591"/>
    </row>
    <row r="264" spans="1:24" ht="21.6" customHeight="1" x14ac:dyDescent="0.15">
      <c r="A264" s="1464"/>
      <c r="B264" s="1465"/>
      <c r="C264" s="1466"/>
      <c r="D264" s="1466"/>
      <c r="E264" s="1466"/>
      <c r="F264" s="1466"/>
      <c r="G264" s="1466"/>
      <c r="H264" s="1466"/>
      <c r="I264" s="124" t="s">
        <v>65</v>
      </c>
      <c r="J264" s="765">
        <v>11</v>
      </c>
      <c r="K264" s="125" t="s">
        <v>287</v>
      </c>
      <c r="L264" s="127"/>
      <c r="M264" s="1470"/>
      <c r="N264" s="1471"/>
      <c r="O264" s="1471"/>
      <c r="P264" s="1471"/>
      <c r="Q264" s="1471"/>
      <c r="R264" s="1472"/>
      <c r="S264" s="2589"/>
      <c r="T264" s="2590"/>
      <c r="U264" s="2590"/>
      <c r="V264" s="2590"/>
      <c r="W264" s="2590"/>
      <c r="X264" s="2591"/>
    </row>
    <row r="265" spans="1:24" ht="162" customHeight="1" x14ac:dyDescent="0.15">
      <c r="A265" s="1461" t="str">
        <f>IF(S75&gt;0,"〇","")</f>
        <v/>
      </c>
      <c r="B265" s="1462"/>
      <c r="C265" s="1463"/>
      <c r="D265" s="1463"/>
      <c r="E265" s="1463"/>
      <c r="F265" s="1463"/>
      <c r="G265" s="1463"/>
      <c r="H265" s="1463"/>
      <c r="I265" s="1476"/>
      <c r="J265" s="1477"/>
      <c r="K265" s="1478"/>
      <c r="L265" s="127"/>
      <c r="M265" s="1473"/>
      <c r="N265" s="1474"/>
      <c r="O265" s="1474"/>
      <c r="P265" s="1474"/>
      <c r="Q265" s="1474"/>
      <c r="R265" s="1475"/>
      <c r="S265" s="2592"/>
      <c r="T265" s="2593"/>
      <c r="U265" s="2593"/>
      <c r="V265" s="2593"/>
      <c r="W265" s="2593"/>
      <c r="X265" s="2594"/>
    </row>
    <row r="266" spans="1:24" ht="24" customHeight="1" x14ac:dyDescent="0.15">
      <c r="A266" s="1456" t="str">
        <f>IF(S88&gt;0,"〇","")</f>
        <v>〇</v>
      </c>
      <c r="B266" s="1457"/>
      <c r="C266" s="1458" t="s">
        <v>849</v>
      </c>
      <c r="D266" s="1458"/>
      <c r="E266" s="1458"/>
      <c r="F266" s="1458"/>
      <c r="G266" s="1458"/>
      <c r="H266" s="1458"/>
      <c r="I266" s="117" t="s">
        <v>65</v>
      </c>
      <c r="J266" s="766">
        <v>7</v>
      </c>
      <c r="K266" s="118" t="s">
        <v>287</v>
      </c>
      <c r="L266" s="127"/>
      <c r="M266" s="1467" t="s">
        <v>854</v>
      </c>
      <c r="N266" s="1492"/>
      <c r="O266" s="1492"/>
      <c r="P266" s="1492"/>
      <c r="Q266" s="1492"/>
      <c r="R266" s="1493"/>
      <c r="S266" s="2586" t="s">
        <v>2444</v>
      </c>
      <c r="T266" s="2598"/>
      <c r="U266" s="2598"/>
      <c r="V266" s="2598"/>
      <c r="W266" s="2598"/>
      <c r="X266" s="2599"/>
    </row>
    <row r="267" spans="1:24" ht="24" customHeight="1" x14ac:dyDescent="0.15">
      <c r="A267" s="1464"/>
      <c r="B267" s="1465"/>
      <c r="C267" s="1466"/>
      <c r="D267" s="1466"/>
      <c r="E267" s="1466"/>
      <c r="F267" s="1466"/>
      <c r="G267" s="1466"/>
      <c r="H267" s="1466"/>
      <c r="I267" s="120"/>
      <c r="J267" s="121" t="s">
        <v>288</v>
      </c>
      <c r="K267" s="122"/>
      <c r="L267" s="127"/>
      <c r="M267" s="1470"/>
      <c r="N267" s="1471"/>
      <c r="O267" s="1471"/>
      <c r="P267" s="1471"/>
      <c r="Q267" s="1471"/>
      <c r="R267" s="1472"/>
      <c r="S267" s="2600"/>
      <c r="T267" s="2601"/>
      <c r="U267" s="2601"/>
      <c r="V267" s="2601"/>
      <c r="W267" s="2601"/>
      <c r="X267" s="2602"/>
    </row>
    <row r="268" spans="1:24" ht="24" customHeight="1" x14ac:dyDescent="0.15">
      <c r="A268" s="1464"/>
      <c r="B268" s="1465"/>
      <c r="C268" s="1466"/>
      <c r="D268" s="1466"/>
      <c r="E268" s="1466"/>
      <c r="F268" s="1466"/>
      <c r="G268" s="1466"/>
      <c r="H268" s="1466"/>
      <c r="I268" s="124" t="s">
        <v>65</v>
      </c>
      <c r="J268" s="765">
        <v>11</v>
      </c>
      <c r="K268" s="125" t="s">
        <v>287</v>
      </c>
      <c r="L268" s="127"/>
      <c r="M268" s="1470"/>
      <c r="N268" s="1471"/>
      <c r="O268" s="1471"/>
      <c r="P268" s="1471"/>
      <c r="Q268" s="1471"/>
      <c r="R268" s="1472"/>
      <c r="S268" s="2600"/>
      <c r="T268" s="2601"/>
      <c r="U268" s="2601"/>
      <c r="V268" s="2601"/>
      <c r="W268" s="2601"/>
      <c r="X268" s="2602"/>
    </row>
    <row r="269" spans="1:24" ht="81" customHeight="1" x14ac:dyDescent="0.15">
      <c r="A269" s="1461"/>
      <c r="B269" s="1462"/>
      <c r="C269" s="1463"/>
      <c r="D269" s="1463"/>
      <c r="E269" s="1463"/>
      <c r="F269" s="1463"/>
      <c r="G269" s="1463"/>
      <c r="H269" s="1463"/>
      <c r="I269" s="1476"/>
      <c r="J269" s="1477"/>
      <c r="K269" s="1478"/>
      <c r="L269" s="127"/>
      <c r="M269" s="1473"/>
      <c r="N269" s="1474"/>
      <c r="O269" s="1474"/>
      <c r="P269" s="1474"/>
      <c r="Q269" s="1474"/>
      <c r="R269" s="1475"/>
      <c r="S269" s="2603"/>
      <c r="T269" s="2604"/>
      <c r="U269" s="2604"/>
      <c r="V269" s="2604"/>
      <c r="W269" s="2604"/>
      <c r="X269" s="2605"/>
    </row>
    <row r="270" spans="1:24" ht="24" customHeight="1" x14ac:dyDescent="0.15">
      <c r="A270" s="1459" t="str">
        <f>IF(P110&gt;0,"〇","")</f>
        <v>〇</v>
      </c>
      <c r="B270" s="1460"/>
      <c r="C270" s="1458" t="s">
        <v>850</v>
      </c>
      <c r="D270" s="1458"/>
      <c r="E270" s="1458"/>
      <c r="F270" s="1458"/>
      <c r="G270" s="1458"/>
      <c r="H270" s="1458"/>
      <c r="I270" s="117" t="s">
        <v>65</v>
      </c>
      <c r="J270" s="766">
        <v>7</v>
      </c>
      <c r="K270" s="118" t="s">
        <v>287</v>
      </c>
      <c r="L270" s="127"/>
      <c r="M270" s="1467" t="s">
        <v>853</v>
      </c>
      <c r="N270" s="1468"/>
      <c r="O270" s="1468"/>
      <c r="P270" s="1468"/>
      <c r="Q270" s="1468"/>
      <c r="R270" s="1469"/>
      <c r="S270" s="2586" t="s">
        <v>2445</v>
      </c>
      <c r="T270" s="2598"/>
      <c r="U270" s="2598"/>
      <c r="V270" s="2598"/>
      <c r="W270" s="2598"/>
      <c r="X270" s="2599"/>
    </row>
    <row r="271" spans="1:24" ht="24" customHeight="1" x14ac:dyDescent="0.15">
      <c r="A271" s="1464"/>
      <c r="B271" s="1465"/>
      <c r="C271" s="1466"/>
      <c r="D271" s="1466"/>
      <c r="E271" s="1466"/>
      <c r="F271" s="1466"/>
      <c r="G271" s="1466"/>
      <c r="H271" s="1466"/>
      <c r="I271" s="120"/>
      <c r="J271" s="121" t="s">
        <v>288</v>
      </c>
      <c r="K271" s="122"/>
      <c r="L271" s="127"/>
      <c r="M271" s="1470"/>
      <c r="N271" s="1471"/>
      <c r="O271" s="1471"/>
      <c r="P271" s="1471"/>
      <c r="Q271" s="1471"/>
      <c r="R271" s="1472"/>
      <c r="S271" s="2589"/>
      <c r="T271" s="2590"/>
      <c r="U271" s="2590"/>
      <c r="V271" s="2590"/>
      <c r="W271" s="2590"/>
      <c r="X271" s="2591"/>
    </row>
    <row r="272" spans="1:24" ht="24" customHeight="1" x14ac:dyDescent="0.15">
      <c r="A272" s="1464"/>
      <c r="B272" s="1465"/>
      <c r="C272" s="1466"/>
      <c r="D272" s="1466"/>
      <c r="E272" s="1466"/>
      <c r="F272" s="1466"/>
      <c r="G272" s="1466"/>
      <c r="H272" s="1466"/>
      <c r="I272" s="124" t="s">
        <v>65</v>
      </c>
      <c r="J272" s="765">
        <v>11</v>
      </c>
      <c r="K272" s="125" t="s">
        <v>287</v>
      </c>
      <c r="L272" s="127"/>
      <c r="M272" s="1470"/>
      <c r="N272" s="1471"/>
      <c r="O272" s="1471"/>
      <c r="P272" s="1471"/>
      <c r="Q272" s="1471"/>
      <c r="R272" s="1472"/>
      <c r="S272" s="2589"/>
      <c r="T272" s="2590"/>
      <c r="U272" s="2590"/>
      <c r="V272" s="2590"/>
      <c r="W272" s="2590"/>
      <c r="X272" s="2591"/>
    </row>
    <row r="273" spans="1:25" ht="36" customHeight="1" x14ac:dyDescent="0.15">
      <c r="A273" s="1461"/>
      <c r="B273" s="1462"/>
      <c r="C273" s="1463"/>
      <c r="D273" s="1463"/>
      <c r="E273" s="1463"/>
      <c r="F273" s="1463"/>
      <c r="G273" s="1463"/>
      <c r="H273" s="1463"/>
      <c r="I273" s="128"/>
      <c r="J273" s="129"/>
      <c r="K273" s="130"/>
      <c r="L273" s="127"/>
      <c r="M273" s="1473"/>
      <c r="N273" s="1474"/>
      <c r="O273" s="1474"/>
      <c r="P273" s="1474"/>
      <c r="Q273" s="1474"/>
      <c r="R273" s="1475"/>
      <c r="S273" s="2592"/>
      <c r="T273" s="2593"/>
      <c r="U273" s="2593"/>
      <c r="V273" s="2593"/>
      <c r="W273" s="2593"/>
      <c r="X273" s="2594"/>
    </row>
    <row r="274" spans="1:25" ht="24" customHeight="1" x14ac:dyDescent="0.15">
      <c r="A274" s="1489" t="str">
        <f>IF(P119&gt;0,"〇","")</f>
        <v>〇</v>
      </c>
      <c r="B274" s="1490"/>
      <c r="C274" s="1491" t="s">
        <v>851</v>
      </c>
      <c r="D274" s="1458"/>
      <c r="E274" s="1458"/>
      <c r="F274" s="1458"/>
      <c r="G274" s="1458"/>
      <c r="H274" s="1458"/>
      <c r="I274" s="117" t="s">
        <v>65</v>
      </c>
      <c r="J274" s="766">
        <v>7</v>
      </c>
      <c r="K274" s="118" t="s">
        <v>287</v>
      </c>
      <c r="L274" s="131"/>
      <c r="M274" s="1467" t="s">
        <v>852</v>
      </c>
      <c r="N274" s="1468"/>
      <c r="O274" s="1468"/>
      <c r="P274" s="1468"/>
      <c r="Q274" s="1468"/>
      <c r="R274" s="1469"/>
      <c r="S274" s="2586" t="s">
        <v>2446</v>
      </c>
      <c r="T274" s="2598"/>
      <c r="U274" s="2598"/>
      <c r="V274" s="2598"/>
      <c r="W274" s="2598"/>
      <c r="X274" s="2599"/>
      <c r="Y274" s="57"/>
    </row>
    <row r="275" spans="1:25" ht="24" customHeight="1" x14ac:dyDescent="0.15">
      <c r="A275" s="1464"/>
      <c r="B275" s="1465"/>
      <c r="C275" s="1466"/>
      <c r="D275" s="1466"/>
      <c r="E275" s="1466"/>
      <c r="F275" s="1466"/>
      <c r="G275" s="1466"/>
      <c r="H275" s="1466"/>
      <c r="I275" s="120"/>
      <c r="J275" s="121" t="s">
        <v>288</v>
      </c>
      <c r="K275" s="122"/>
      <c r="L275" s="131"/>
      <c r="M275" s="1470"/>
      <c r="N275" s="1471"/>
      <c r="O275" s="1471"/>
      <c r="P275" s="1471"/>
      <c r="Q275" s="1471"/>
      <c r="R275" s="1472"/>
      <c r="S275" s="2589"/>
      <c r="T275" s="2590"/>
      <c r="U275" s="2590"/>
      <c r="V275" s="2590"/>
      <c r="W275" s="2590"/>
      <c r="X275" s="2591"/>
    </row>
    <row r="276" spans="1:25" ht="24" customHeight="1" x14ac:dyDescent="0.15">
      <c r="A276" s="1464"/>
      <c r="B276" s="1465"/>
      <c r="C276" s="1466"/>
      <c r="D276" s="1466"/>
      <c r="E276" s="1466"/>
      <c r="F276" s="1466"/>
      <c r="G276" s="1466"/>
      <c r="H276" s="1466"/>
      <c r="I276" s="124" t="s">
        <v>65</v>
      </c>
      <c r="J276" s="765">
        <v>11</v>
      </c>
      <c r="K276" s="125" t="s">
        <v>287</v>
      </c>
      <c r="L276" s="131"/>
      <c r="M276" s="1470"/>
      <c r="N276" s="1471"/>
      <c r="O276" s="1471"/>
      <c r="P276" s="1471"/>
      <c r="Q276" s="1471"/>
      <c r="R276" s="1472"/>
      <c r="S276" s="2589"/>
      <c r="T276" s="2590"/>
      <c r="U276" s="2590"/>
      <c r="V276" s="2590"/>
      <c r="W276" s="2590"/>
      <c r="X276" s="2591"/>
    </row>
    <row r="277" spans="1:25" ht="119.25" customHeight="1" x14ac:dyDescent="0.15">
      <c r="A277" s="1461" t="str">
        <f>IF(S84&gt;0,"〇","")</f>
        <v/>
      </c>
      <c r="B277" s="1462"/>
      <c r="C277" s="1463"/>
      <c r="D277" s="1463"/>
      <c r="E277" s="1463"/>
      <c r="F277" s="1463"/>
      <c r="G277" s="1463"/>
      <c r="H277" s="1463"/>
      <c r="I277" s="128"/>
      <c r="J277" s="129"/>
      <c r="K277" s="130"/>
      <c r="L277" s="131"/>
      <c r="M277" s="1473"/>
      <c r="N277" s="1474"/>
      <c r="O277" s="1474"/>
      <c r="P277" s="1474"/>
      <c r="Q277" s="1474"/>
      <c r="R277" s="1475"/>
      <c r="S277" s="2592"/>
      <c r="T277" s="2593"/>
      <c r="U277" s="2593"/>
      <c r="V277" s="2593"/>
      <c r="W277" s="2593"/>
      <c r="X277" s="2594"/>
    </row>
    <row r="278" spans="1:25" ht="7.15" customHeight="1" x14ac:dyDescent="0.15">
      <c r="A278" s="132"/>
      <c r="B278" s="132"/>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row>
    <row r="279" spans="1:25" ht="18" customHeight="1" x14ac:dyDescent="0.15">
      <c r="A279" s="109"/>
      <c r="B279" s="110" t="s">
        <v>182</v>
      </c>
      <c r="C279" s="105" t="s">
        <v>855</v>
      </c>
      <c r="D279" s="105"/>
      <c r="E279" s="105"/>
      <c r="F279" s="105"/>
      <c r="G279" s="105"/>
      <c r="H279" s="105"/>
      <c r="I279" s="105"/>
      <c r="J279" s="105"/>
      <c r="K279" s="105"/>
      <c r="L279" s="105"/>
      <c r="M279" s="105"/>
      <c r="N279" s="105"/>
      <c r="O279" s="105"/>
      <c r="P279" s="105"/>
      <c r="Q279" s="105"/>
      <c r="R279" s="105"/>
      <c r="S279" s="105"/>
      <c r="T279" s="105"/>
      <c r="U279" s="105"/>
      <c r="V279" s="105"/>
      <c r="W279" s="105"/>
      <c r="X279" s="105"/>
    </row>
    <row r="280" spans="1:25" ht="27.75" customHeight="1" x14ac:dyDescent="0.15">
      <c r="A280" s="109"/>
      <c r="B280" s="134" t="s">
        <v>183</v>
      </c>
      <c r="C280" s="1455" t="s">
        <v>184</v>
      </c>
      <c r="D280" s="1455"/>
      <c r="E280" s="1455"/>
      <c r="F280" s="1455"/>
      <c r="G280" s="1455"/>
      <c r="H280" s="1455"/>
      <c r="I280" s="1455"/>
      <c r="J280" s="1455"/>
      <c r="K280" s="1455"/>
      <c r="L280" s="1455"/>
      <c r="M280" s="1455"/>
      <c r="N280" s="1455"/>
      <c r="O280" s="1455"/>
      <c r="P280" s="1455"/>
      <c r="Q280" s="1455"/>
      <c r="R280" s="1455"/>
      <c r="S280" s="1455"/>
      <c r="T280" s="1455"/>
      <c r="U280" s="1455"/>
      <c r="V280" s="1455"/>
      <c r="W280" s="1455"/>
      <c r="X280" s="1455"/>
    </row>
  </sheetData>
  <dataConsolidate/>
  <mergeCells count="465">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B74:X74"/>
    <mergeCell ref="B77:W77"/>
    <mergeCell ref="B78:H78"/>
    <mergeCell ref="I78:M79"/>
    <mergeCell ref="N78:R79"/>
    <mergeCell ref="S78:W79"/>
    <mergeCell ref="B79:D79"/>
    <mergeCell ref="E79:H79"/>
    <mergeCell ref="B73:X73"/>
    <mergeCell ref="B72:D72"/>
    <mergeCell ref="E72:F72"/>
    <mergeCell ref="H72:I72"/>
    <mergeCell ref="J72:K72"/>
    <mergeCell ref="M72:O72"/>
    <mergeCell ref="P72:S72"/>
    <mergeCell ref="P71:S71"/>
    <mergeCell ref="T71:W72"/>
    <mergeCell ref="C49:T49"/>
    <mergeCell ref="M71:O71"/>
    <mergeCell ref="T69:W70"/>
    <mergeCell ref="P69:S70"/>
    <mergeCell ref="A49:B49"/>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42:C142"/>
    <mergeCell ref="D142:M142"/>
    <mergeCell ref="N142:W142"/>
    <mergeCell ref="B143:C143"/>
    <mergeCell ref="D143:M143"/>
    <mergeCell ref="N143:W143"/>
    <mergeCell ref="B140:C140"/>
    <mergeCell ref="D140:M140"/>
    <mergeCell ref="N140:W140"/>
    <mergeCell ref="B141:C141"/>
    <mergeCell ref="D141:M141"/>
    <mergeCell ref="N141:W141"/>
    <mergeCell ref="B146:C146"/>
    <mergeCell ref="D146:M146"/>
    <mergeCell ref="N146:W146"/>
    <mergeCell ref="B147:C147"/>
    <mergeCell ref="D147:M147"/>
    <mergeCell ref="N147:W147"/>
    <mergeCell ref="B144:C144"/>
    <mergeCell ref="D144:M144"/>
    <mergeCell ref="N144:W144"/>
    <mergeCell ref="B145:C145"/>
    <mergeCell ref="D145:M145"/>
    <mergeCell ref="N145:W145"/>
    <mergeCell ref="C159:X159"/>
    <mergeCell ref="D148:M148"/>
    <mergeCell ref="N148:W148"/>
    <mergeCell ref="B154:X154"/>
    <mergeCell ref="C155:X155"/>
    <mergeCell ref="A156:B156"/>
    <mergeCell ref="C156:X156"/>
    <mergeCell ref="A155:B155"/>
    <mergeCell ref="B148:C149"/>
    <mergeCell ref="D149:M149"/>
    <mergeCell ref="N149:W149"/>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A276:B276"/>
    <mergeCell ref="C276:H276"/>
    <mergeCell ref="M274:R277"/>
    <mergeCell ref="S274:X277"/>
    <mergeCell ref="C262:H262"/>
    <mergeCell ref="A261:B261"/>
    <mergeCell ref="C261:H261"/>
    <mergeCell ref="A260:B260"/>
    <mergeCell ref="C260:H260"/>
    <mergeCell ref="S261:X261"/>
    <mergeCell ref="A265:B265"/>
    <mergeCell ref="C265:H265"/>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s>
  <phoneticPr fontId="3"/>
  <dataValidations count="7">
    <dataValidation type="list" allowBlank="1" showInputMessage="1" showErrorMessage="1" sqref="F28:J28">
      <formula1>"ア,イ,ウ"</formula1>
    </dataValidation>
    <dataValidation type="list" allowBlank="1" showInputMessage="1" prompt="下記のア～ウから該当する役割を選択" sqref="F22:J26">
      <formula1>"ア,イ,ウ"</formula1>
    </dataValidation>
    <dataValidation type="list" allowBlank="1" showInputMessage="1" prompt="該当する項目に「〇」を記載" sqref="A41:B44 C130:C132 H169:I170 N169:O170 A157:B165 A177:B186 A48:B50 B130:B133 B139:B148 C139:C147">
      <formula1>"　,〇,"</formula1>
    </dataValidation>
    <dataValidation type="list" allowBlank="1" showInputMessage="1" showErrorMessage="1" prompt="該当する場合に「✓」を選択" sqref="A155:B155">
      <formula1>"　,✓,"</formula1>
    </dataValidation>
    <dataValidation type="list" allowBlank="1" showInputMessage="1" prompt="取組開始年度を入力" sqref="J256 J262 J266 J270 J274">
      <formula1>"7,8,9,10,11"</formula1>
    </dataValidation>
    <dataValidation type="list" allowBlank="1" showInputMessage="1" prompt="取組終了年度を入力_x000a_（加算額は取組期間内に限り交付されます）" sqref="J258 J264 J268 J272 J276">
      <formula1>"7,8,9,10,11"</formula1>
    </dataValidation>
    <dataValidation type="list" allowBlank="1" showInputMessage="1" showErrorMessage="1" prompt="年度を選択" sqref="F224:P224 R224:X224 F229:I229 F234:I234">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3" fitToHeight="0" orientation="portrait" r:id="rId1"/>
  <rowBreaks count="6" manualBreakCount="6">
    <brk id="34" max="23" man="1"/>
    <brk id="83" max="23" man="1"/>
    <brk id="135" max="23" man="1"/>
    <brk id="171" max="23" man="1"/>
    <brk id="219" max="23" man="1"/>
    <brk id="250"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C34"/>
  <sheetViews>
    <sheetView showGridLines="0" tabSelected="1" view="pageBreakPreview" topLeftCell="A11" zoomScale="80" zoomScaleNormal="80" zoomScaleSheetLayoutView="80" workbookViewId="0">
      <selection activeCell="S8" sqref="S8"/>
    </sheetView>
  </sheetViews>
  <sheetFormatPr defaultRowHeight="18.75" x14ac:dyDescent="0.15"/>
  <cols>
    <col min="1" max="1" width="10.5" style="135" customWidth="1"/>
    <col min="2" max="2" width="14.375" style="135" customWidth="1"/>
    <col min="3" max="3" width="7.625" style="135" customWidth="1"/>
    <col min="4" max="4" width="16.5" style="135" customWidth="1"/>
    <col min="5" max="5" width="7.5" style="135" customWidth="1"/>
    <col min="6" max="6" width="10.5" style="135" customWidth="1"/>
    <col min="7" max="7" width="11.125" style="135" customWidth="1"/>
    <col min="8" max="8" width="7.75" style="135" customWidth="1"/>
    <col min="9" max="9" width="8.25" style="135" customWidth="1"/>
    <col min="10" max="10" width="8.25" style="135" hidden="1" customWidth="1"/>
    <col min="11" max="15" width="4.25" style="135" customWidth="1"/>
    <col min="16" max="17" width="13.875" style="135" customWidth="1"/>
    <col min="18" max="18" width="11.75" style="135" customWidth="1"/>
    <col min="19" max="19" width="12.75" style="135" customWidth="1"/>
    <col min="21" max="21" width="3.5" style="135" customWidth="1"/>
    <col min="22" max="22" width="11.25" style="136" customWidth="1"/>
  </cols>
  <sheetData>
    <row r="1" spans="1:29" ht="22.15" customHeight="1" x14ac:dyDescent="0.15">
      <c r="A1" s="12"/>
      <c r="B1"/>
      <c r="C1"/>
      <c r="D1"/>
      <c r="E1"/>
      <c r="F1"/>
      <c r="G1"/>
      <c r="H1"/>
      <c r="I1"/>
      <c r="J1"/>
      <c r="K1"/>
      <c r="L1"/>
      <c r="M1"/>
      <c r="N1"/>
      <c r="O1"/>
      <c r="P1"/>
      <c r="Q1"/>
      <c r="R1"/>
      <c r="S1" s="12" t="s">
        <v>1988</v>
      </c>
      <c r="U1"/>
      <c r="V1" s="138"/>
    </row>
    <row r="2" spans="1:29" s="12" customFormat="1" ht="23.45" customHeight="1" x14ac:dyDescent="0.15">
      <c r="A2" s="1656" t="s">
        <v>776</v>
      </c>
      <c r="B2" s="1656"/>
      <c r="C2" s="1656"/>
      <c r="D2" s="1656"/>
      <c r="E2" s="1656"/>
      <c r="F2" s="1656"/>
      <c r="G2" s="1656"/>
      <c r="H2" s="1656"/>
      <c r="I2" s="1656"/>
      <c r="J2" s="1656"/>
      <c r="K2" s="1656"/>
      <c r="L2" s="1656"/>
      <c r="M2" s="1656"/>
      <c r="N2" s="1656"/>
      <c r="O2" s="1656"/>
      <c r="P2" s="1656"/>
      <c r="Q2" s="1656"/>
      <c r="R2" s="1656"/>
      <c r="S2" s="1656"/>
      <c r="V2" s="138"/>
    </row>
    <row r="3" spans="1:29" s="12" customFormat="1" ht="23.45" customHeight="1" x14ac:dyDescent="0.15">
      <c r="A3" s="63" t="s">
        <v>777</v>
      </c>
      <c r="C3" s="63"/>
      <c r="V3" s="138"/>
    </row>
    <row r="4" spans="1:29" s="12" customFormat="1" ht="40.5" customHeight="1" x14ac:dyDescent="0.15">
      <c r="A4" s="1180" t="s">
        <v>778</v>
      </c>
      <c r="B4" s="1180"/>
      <c r="C4" s="1180"/>
      <c r="D4" s="1180"/>
      <c r="E4" s="1180"/>
      <c r="F4" s="1180"/>
      <c r="G4" s="1180"/>
      <c r="H4" s="1180"/>
      <c r="I4" s="1180"/>
      <c r="J4" s="1180"/>
      <c r="K4" s="1180"/>
      <c r="L4" s="1180"/>
      <c r="M4" s="1180"/>
      <c r="N4" s="1180"/>
      <c r="O4" s="1180"/>
      <c r="P4" s="1180"/>
      <c r="Q4" s="1180"/>
      <c r="R4" s="1180"/>
      <c r="S4" s="1180"/>
      <c r="V4" s="138"/>
    </row>
    <row r="5" spans="1:29" s="12" customFormat="1" ht="23.45" hidden="1" customHeight="1" x14ac:dyDescent="0.15">
      <c r="A5" s="63"/>
      <c r="C5" s="63"/>
      <c r="E5" s="63"/>
      <c r="F5" s="65"/>
      <c r="G5" s="139"/>
      <c r="V5" s="140" t="s">
        <v>1068</v>
      </c>
    </row>
    <row r="6" spans="1:29" s="12" customFormat="1" ht="18.600000000000001" hidden="1" customHeight="1" x14ac:dyDescent="0.15">
      <c r="A6" s="63"/>
      <c r="C6" s="1751" t="s">
        <v>348</v>
      </c>
      <c r="D6" s="1752"/>
      <c r="F6" s="1753" t="s">
        <v>864</v>
      </c>
      <c r="G6" s="1755" t="str">
        <f>IF(S14="", "",S14)</f>
        <v>〇</v>
      </c>
      <c r="V6" s="138"/>
    </row>
    <row r="7" spans="1:29" s="12" customFormat="1" ht="18.600000000000001" hidden="1" customHeight="1" x14ac:dyDescent="0.15">
      <c r="A7" s="63"/>
      <c r="C7" s="1751" t="s">
        <v>113</v>
      </c>
      <c r="D7" s="1752"/>
      <c r="F7" s="1754"/>
      <c r="G7" s="1756"/>
      <c r="V7" s="138"/>
    </row>
    <row r="8" spans="1:29" s="12" customFormat="1" ht="18.600000000000001" hidden="1" customHeight="1" x14ac:dyDescent="0.15">
      <c r="A8" s="63"/>
      <c r="C8" s="1751" t="s">
        <v>808</v>
      </c>
      <c r="D8" s="1752"/>
      <c r="F8" s="1753" t="s">
        <v>865</v>
      </c>
      <c r="G8" s="1760" t="str">
        <f>IF(S15="", "",S15)</f>
        <v/>
      </c>
      <c r="V8" s="138"/>
    </row>
    <row r="9" spans="1:29" s="12" customFormat="1" ht="18.600000000000001" hidden="1" customHeight="1" x14ac:dyDescent="0.15">
      <c r="A9" s="63"/>
      <c r="C9" s="1751" t="s">
        <v>1065</v>
      </c>
      <c r="D9" s="1752"/>
      <c r="F9" s="1754"/>
      <c r="G9" s="1761"/>
      <c r="V9" s="138"/>
    </row>
    <row r="10" spans="1:29" s="12" customFormat="1" ht="18.600000000000001" hidden="1" customHeight="1" x14ac:dyDescent="0.15">
      <c r="A10" s="63"/>
      <c r="C10" s="1751" t="s">
        <v>823</v>
      </c>
      <c r="D10" s="1752"/>
      <c r="V10" s="138"/>
    </row>
    <row r="11" spans="1:29" s="65" customFormat="1" ht="8.4499999999999993" customHeight="1" thickBot="1" x14ac:dyDescent="0.2">
      <c r="A11" s="139"/>
      <c r="C11" s="139"/>
      <c r="V11" s="140"/>
    </row>
    <row r="12" spans="1:29" s="65" customFormat="1" ht="13.5" customHeight="1" x14ac:dyDescent="0.15">
      <c r="A12" s="1714" t="s">
        <v>824</v>
      </c>
      <c r="B12" s="1715"/>
      <c r="C12" s="1715"/>
      <c r="D12" s="1715"/>
      <c r="E12" s="1715"/>
      <c r="F12" s="1715"/>
      <c r="G12" s="1715"/>
      <c r="H12" s="1715"/>
      <c r="I12" s="1715"/>
      <c r="J12" s="1715"/>
      <c r="K12" s="1715"/>
      <c r="L12" s="1715"/>
      <c r="M12" s="1715"/>
      <c r="N12" s="1715"/>
      <c r="O12" s="1715"/>
      <c r="P12" s="1715"/>
      <c r="Q12" s="1715"/>
      <c r="R12" s="1715"/>
      <c r="S12" s="1716"/>
      <c r="V12" s="1720" t="s">
        <v>358</v>
      </c>
    </row>
    <row r="13" spans="1:29" s="65" customFormat="1" ht="13.5" customHeight="1" thickBot="1" x14ac:dyDescent="0.2">
      <c r="A13" s="1717"/>
      <c r="B13" s="1718"/>
      <c r="C13" s="1718"/>
      <c r="D13" s="1718"/>
      <c r="E13" s="1718"/>
      <c r="F13" s="1718"/>
      <c r="G13" s="1718"/>
      <c r="H13" s="1718"/>
      <c r="I13" s="1718"/>
      <c r="J13" s="1718"/>
      <c r="K13" s="1718"/>
      <c r="L13" s="1718"/>
      <c r="M13" s="1718"/>
      <c r="N13" s="1718"/>
      <c r="O13" s="1718"/>
      <c r="P13" s="1718"/>
      <c r="Q13" s="1718"/>
      <c r="R13" s="1718"/>
      <c r="S13" s="1719"/>
      <c r="V13" s="1721"/>
    </row>
    <row r="14" spans="1:29" s="65" customFormat="1" ht="39" customHeight="1" x14ac:dyDescent="0.15">
      <c r="A14" s="1733" t="s">
        <v>1989</v>
      </c>
      <c r="B14" s="1734"/>
      <c r="C14" s="1734"/>
      <c r="D14" s="1734"/>
      <c r="E14" s="1734"/>
      <c r="F14" s="1734"/>
      <c r="G14" s="1734"/>
      <c r="H14" s="1735"/>
      <c r="I14" s="1742" t="s">
        <v>1990</v>
      </c>
      <c r="J14" s="906"/>
      <c r="K14" s="1745" t="s">
        <v>1991</v>
      </c>
      <c r="L14" s="1746"/>
      <c r="M14" s="1746"/>
      <c r="N14" s="1746"/>
      <c r="O14" s="1747"/>
      <c r="P14" s="1729" t="s">
        <v>861</v>
      </c>
      <c r="Q14" s="1730"/>
      <c r="R14" s="1730"/>
      <c r="S14" s="984" t="s">
        <v>96</v>
      </c>
      <c r="V14" s="1721"/>
    </row>
    <row r="15" spans="1:29" ht="39" customHeight="1" thickBot="1" x14ac:dyDescent="0.2">
      <c r="A15" s="1736"/>
      <c r="B15" s="1737"/>
      <c r="C15" s="1737"/>
      <c r="D15" s="1737"/>
      <c r="E15" s="1737"/>
      <c r="F15" s="1737"/>
      <c r="G15" s="1737"/>
      <c r="H15" s="1738"/>
      <c r="I15" s="1743"/>
      <c r="J15" s="907"/>
      <c r="K15" s="1748"/>
      <c r="L15" s="1749"/>
      <c r="M15" s="1749"/>
      <c r="N15" s="1749"/>
      <c r="O15" s="1750"/>
      <c r="P15" s="1731" t="s">
        <v>862</v>
      </c>
      <c r="Q15" s="1732"/>
      <c r="R15" s="1732"/>
      <c r="S15" s="985"/>
      <c r="T15" s="65"/>
      <c r="U15" s="65"/>
      <c r="V15" s="1721"/>
      <c r="W15" s="65"/>
      <c r="X15" s="65"/>
      <c r="Y15" s="65"/>
      <c r="Z15" s="65"/>
      <c r="AA15" s="65"/>
      <c r="AB15" s="65"/>
      <c r="AC15" s="65"/>
    </row>
    <row r="16" spans="1:29" ht="30" customHeight="1" thickBot="1" x14ac:dyDescent="0.2">
      <c r="A16" s="1739"/>
      <c r="B16" s="1740"/>
      <c r="C16" s="1740"/>
      <c r="D16" s="1740"/>
      <c r="E16" s="1740"/>
      <c r="F16" s="1740"/>
      <c r="G16" s="1740"/>
      <c r="H16" s="1741"/>
      <c r="I16" s="1744"/>
      <c r="J16" s="908"/>
      <c r="K16" s="909" t="s">
        <v>1052</v>
      </c>
      <c r="L16" s="910"/>
      <c r="M16" s="910"/>
      <c r="N16" s="910"/>
      <c r="O16" s="910"/>
      <c r="P16" s="1727" t="s">
        <v>825</v>
      </c>
      <c r="Q16" s="1728"/>
      <c r="R16" s="1723" t="s">
        <v>2438</v>
      </c>
      <c r="S16" s="1725" t="s">
        <v>826</v>
      </c>
      <c r="T16" s="65"/>
      <c r="U16" s="65"/>
      <c r="V16" s="1722"/>
      <c r="W16" s="65"/>
      <c r="X16" s="65"/>
      <c r="Y16" s="65"/>
      <c r="Z16" s="65"/>
      <c r="AA16" s="65"/>
      <c r="AB16" s="65"/>
      <c r="AC16" s="65"/>
    </row>
    <row r="17" spans="1:29" ht="141.6" customHeight="1" x14ac:dyDescent="0.15">
      <c r="A17" s="751" t="s">
        <v>196</v>
      </c>
      <c r="B17" s="752" t="s">
        <v>197</v>
      </c>
      <c r="C17" s="752" t="s">
        <v>198</v>
      </c>
      <c r="D17" s="752" t="s">
        <v>199</v>
      </c>
      <c r="E17" s="752" t="s">
        <v>4</v>
      </c>
      <c r="F17" s="752" t="s">
        <v>200</v>
      </c>
      <c r="G17" s="753" t="s">
        <v>1986</v>
      </c>
      <c r="H17" s="255" t="s">
        <v>2360</v>
      </c>
      <c r="I17" s="254" t="s">
        <v>201</v>
      </c>
      <c r="J17" s="254" t="s">
        <v>202</v>
      </c>
      <c r="K17" s="252" t="s">
        <v>348</v>
      </c>
      <c r="L17" s="252" t="s">
        <v>113</v>
      </c>
      <c r="M17" s="252" t="s">
        <v>808</v>
      </c>
      <c r="N17" s="252" t="s">
        <v>1065</v>
      </c>
      <c r="O17" s="252" t="s">
        <v>823</v>
      </c>
      <c r="P17" s="256" t="s">
        <v>344</v>
      </c>
      <c r="Q17" s="257" t="s">
        <v>1987</v>
      </c>
      <c r="R17" s="1724"/>
      <c r="S17" s="1726"/>
      <c r="U17"/>
      <c r="V17" s="754" t="s">
        <v>863</v>
      </c>
    </row>
    <row r="18" spans="1:29" ht="18" customHeight="1" x14ac:dyDescent="0.15">
      <c r="A18" s="986" t="s">
        <v>869</v>
      </c>
      <c r="B18" s="987" t="s">
        <v>191</v>
      </c>
      <c r="C18" s="987" t="s">
        <v>350</v>
      </c>
      <c r="D18" s="987" t="s">
        <v>208</v>
      </c>
      <c r="E18" s="988" t="s">
        <v>242</v>
      </c>
      <c r="F18" s="989">
        <v>589</v>
      </c>
      <c r="G18" s="990" t="s">
        <v>206</v>
      </c>
      <c r="H18" s="991"/>
      <c r="I18" s="288">
        <f>IFERROR(VLOOKUP(V18,プルダウンリスト!$D$15:$E$70,2,FALSE),"")</f>
        <v>21000</v>
      </c>
      <c r="J18" s="288">
        <f t="shared" ref="J18:J19" si="0">IFERROR(ROUNDDOWN(F18*I18/1000,0),"")</f>
        <v>12369</v>
      </c>
      <c r="K18" s="991"/>
      <c r="L18" s="991" t="s">
        <v>2439</v>
      </c>
      <c r="M18" s="991" t="s">
        <v>2439</v>
      </c>
      <c r="N18" s="991" t="s">
        <v>2439</v>
      </c>
      <c r="O18" s="991" t="s">
        <v>2439</v>
      </c>
      <c r="P18" s="992" t="s">
        <v>342</v>
      </c>
      <c r="Q18" s="988" t="s">
        <v>2354</v>
      </c>
      <c r="R18" s="987" t="s">
        <v>209</v>
      </c>
      <c r="S18" s="993"/>
      <c r="U18"/>
      <c r="V18" s="755" t="str">
        <f>$S$14&amp;E18&amp;G18</f>
        <v>〇田急傾斜</v>
      </c>
      <c r="W18" s="141"/>
    </row>
    <row r="19" spans="1:29" ht="18" customHeight="1" x14ac:dyDescent="0.15">
      <c r="A19" s="986" t="s">
        <v>869</v>
      </c>
      <c r="B19" s="987" t="s">
        <v>191</v>
      </c>
      <c r="C19" s="987" t="s">
        <v>350</v>
      </c>
      <c r="D19" s="987" t="s">
        <v>253</v>
      </c>
      <c r="E19" s="988" t="s">
        <v>242</v>
      </c>
      <c r="F19" s="989">
        <v>357</v>
      </c>
      <c r="G19" s="990" t="s">
        <v>206</v>
      </c>
      <c r="H19" s="991"/>
      <c r="I19" s="288">
        <f>IFERROR(VLOOKUP(V19,プルダウンリスト!$D$15:$E$70,2,FALSE),"")</f>
        <v>21000</v>
      </c>
      <c r="J19" s="288">
        <f t="shared" si="0"/>
        <v>7497</v>
      </c>
      <c r="K19" s="991"/>
      <c r="L19" s="991" t="s">
        <v>2439</v>
      </c>
      <c r="M19" s="991" t="s">
        <v>2439</v>
      </c>
      <c r="N19" s="991" t="s">
        <v>2439</v>
      </c>
      <c r="O19" s="991" t="s">
        <v>2439</v>
      </c>
      <c r="P19" s="992" t="s">
        <v>866</v>
      </c>
      <c r="Q19" s="988" t="s">
        <v>2355</v>
      </c>
      <c r="R19" s="987" t="s">
        <v>209</v>
      </c>
      <c r="S19" s="993"/>
      <c r="U19"/>
      <c r="V19" s="755" t="str">
        <f>$S$14&amp;E19&amp;G19</f>
        <v>〇田急傾斜</v>
      </c>
    </row>
    <row r="20" spans="1:29" ht="18" customHeight="1" x14ac:dyDescent="0.15">
      <c r="A20" s="986" t="s">
        <v>869</v>
      </c>
      <c r="B20" s="987" t="s">
        <v>191</v>
      </c>
      <c r="C20" s="987" t="s">
        <v>351</v>
      </c>
      <c r="D20" s="987" t="s">
        <v>253</v>
      </c>
      <c r="E20" s="988" t="s">
        <v>247</v>
      </c>
      <c r="F20" s="989">
        <v>1840</v>
      </c>
      <c r="G20" s="990" t="s">
        <v>206</v>
      </c>
      <c r="H20" s="991"/>
      <c r="I20" s="288">
        <f>IFERROR(VLOOKUP(V20,プルダウンリスト!$D$15:$E$70,2,FALSE),"")</f>
        <v>11500</v>
      </c>
      <c r="J20" s="288">
        <f t="shared" ref="J20:J29" si="1">IFERROR(ROUNDDOWN(F20*I20/1000,0),"")</f>
        <v>21160</v>
      </c>
      <c r="K20" s="991"/>
      <c r="L20" s="991" t="s">
        <v>2439</v>
      </c>
      <c r="M20" s="991" t="s">
        <v>2439</v>
      </c>
      <c r="N20" s="991" t="s">
        <v>2439</v>
      </c>
      <c r="O20" s="991" t="s">
        <v>2439</v>
      </c>
      <c r="P20" s="992" t="s">
        <v>342</v>
      </c>
      <c r="Q20" s="988" t="s">
        <v>2356</v>
      </c>
      <c r="R20" s="987" t="s">
        <v>209</v>
      </c>
      <c r="S20" s="993"/>
      <c r="U20"/>
      <c r="V20" s="755" t="str">
        <f t="shared" ref="V20:V29" si="2">$S$14&amp;E20&amp;G20</f>
        <v>〇畑急傾斜</v>
      </c>
    </row>
    <row r="21" spans="1:29" ht="18" customHeight="1" x14ac:dyDescent="0.15">
      <c r="A21" s="986" t="s">
        <v>869</v>
      </c>
      <c r="B21" s="987" t="s">
        <v>191</v>
      </c>
      <c r="C21" s="987" t="s">
        <v>351</v>
      </c>
      <c r="D21" s="987" t="s">
        <v>254</v>
      </c>
      <c r="E21" s="988" t="s">
        <v>247</v>
      </c>
      <c r="F21" s="989">
        <v>1647</v>
      </c>
      <c r="G21" s="990" t="s">
        <v>243</v>
      </c>
      <c r="H21" s="991"/>
      <c r="I21" s="288">
        <f>IFERROR(VLOOKUP(V21,プルダウンリスト!$D$15:$E$70,2,FALSE),"")</f>
        <v>3500</v>
      </c>
      <c r="J21" s="288">
        <f t="shared" si="1"/>
        <v>5764</v>
      </c>
      <c r="K21" s="991"/>
      <c r="L21" s="991" t="s">
        <v>2439</v>
      </c>
      <c r="M21" s="991" t="s">
        <v>2439</v>
      </c>
      <c r="N21" s="991" t="s">
        <v>2439</v>
      </c>
      <c r="O21" s="991" t="s">
        <v>2439</v>
      </c>
      <c r="P21" s="992" t="s">
        <v>342</v>
      </c>
      <c r="Q21" s="988" t="s">
        <v>2357</v>
      </c>
      <c r="R21" s="987" t="s">
        <v>209</v>
      </c>
      <c r="S21" s="993"/>
      <c r="U21"/>
      <c r="V21" s="755" t="str">
        <f t="shared" si="2"/>
        <v>〇畑緩傾斜</v>
      </c>
    </row>
    <row r="22" spans="1:29" ht="18" customHeight="1" x14ac:dyDescent="0.15">
      <c r="A22" s="986" t="s">
        <v>869</v>
      </c>
      <c r="B22" s="987" t="s">
        <v>191</v>
      </c>
      <c r="C22" s="987" t="s">
        <v>351</v>
      </c>
      <c r="D22" s="987" t="s">
        <v>255</v>
      </c>
      <c r="E22" s="988" t="s">
        <v>247</v>
      </c>
      <c r="F22" s="989">
        <v>975</v>
      </c>
      <c r="G22" s="990" t="s">
        <v>243</v>
      </c>
      <c r="H22" s="991"/>
      <c r="I22" s="288">
        <f>IFERROR(VLOOKUP(V22,プルダウンリスト!$D$15:$E$70,2,FALSE),"")</f>
        <v>3500</v>
      </c>
      <c r="J22" s="288">
        <f t="shared" si="1"/>
        <v>3412</v>
      </c>
      <c r="K22" s="991"/>
      <c r="L22" s="991" t="s">
        <v>2439</v>
      </c>
      <c r="M22" s="991" t="s">
        <v>2439</v>
      </c>
      <c r="N22" s="991" t="s">
        <v>2439</v>
      </c>
      <c r="O22" s="991" t="s">
        <v>2439</v>
      </c>
      <c r="P22" s="992" t="s">
        <v>342</v>
      </c>
      <c r="Q22" s="988" t="s">
        <v>2358</v>
      </c>
      <c r="R22" s="987" t="s">
        <v>209</v>
      </c>
      <c r="S22" s="993"/>
      <c r="U22"/>
      <c r="V22" s="755" t="str">
        <f t="shared" si="2"/>
        <v>〇畑緩傾斜</v>
      </c>
    </row>
    <row r="23" spans="1:29" ht="18" customHeight="1" x14ac:dyDescent="0.15">
      <c r="A23" s="986" t="s">
        <v>869</v>
      </c>
      <c r="B23" s="987" t="s">
        <v>191</v>
      </c>
      <c r="C23" s="987" t="s">
        <v>352</v>
      </c>
      <c r="D23" s="987" t="s">
        <v>256</v>
      </c>
      <c r="E23" s="988" t="s">
        <v>247</v>
      </c>
      <c r="F23" s="989">
        <v>1233</v>
      </c>
      <c r="G23" s="990" t="s">
        <v>243</v>
      </c>
      <c r="H23" s="991"/>
      <c r="I23" s="288">
        <f>IFERROR(VLOOKUP(V23,プルダウンリスト!$D$15:$E$70,2,FALSE),"")</f>
        <v>3500</v>
      </c>
      <c r="J23" s="288">
        <f t="shared" si="1"/>
        <v>4315</v>
      </c>
      <c r="K23" s="991"/>
      <c r="L23" s="991" t="s">
        <v>2439</v>
      </c>
      <c r="M23" s="991" t="s">
        <v>2439</v>
      </c>
      <c r="N23" s="991" t="s">
        <v>2439</v>
      </c>
      <c r="O23" s="991" t="s">
        <v>2439</v>
      </c>
      <c r="P23" s="992" t="s">
        <v>342</v>
      </c>
      <c r="Q23" s="988" t="s">
        <v>2356</v>
      </c>
      <c r="R23" s="987" t="s">
        <v>209</v>
      </c>
      <c r="S23" s="993"/>
      <c r="U23"/>
      <c r="V23" s="755" t="str">
        <f t="shared" si="2"/>
        <v>〇畑緩傾斜</v>
      </c>
    </row>
    <row r="24" spans="1:29" ht="18" customHeight="1" x14ac:dyDescent="0.15">
      <c r="A24" s="986" t="s">
        <v>869</v>
      </c>
      <c r="B24" s="987" t="s">
        <v>191</v>
      </c>
      <c r="C24" s="987" t="s">
        <v>352</v>
      </c>
      <c r="D24" s="987" t="s">
        <v>257</v>
      </c>
      <c r="E24" s="988" t="s">
        <v>247</v>
      </c>
      <c r="F24" s="989">
        <v>869</v>
      </c>
      <c r="G24" s="990" t="s">
        <v>243</v>
      </c>
      <c r="H24" s="991"/>
      <c r="I24" s="288">
        <f>IFERROR(VLOOKUP(V24,プルダウンリスト!$D$15:$E$70,2,FALSE),"")</f>
        <v>3500</v>
      </c>
      <c r="J24" s="288">
        <f t="shared" si="1"/>
        <v>3041</v>
      </c>
      <c r="K24" s="991"/>
      <c r="L24" s="991" t="s">
        <v>2439</v>
      </c>
      <c r="M24" s="991" t="s">
        <v>2439</v>
      </c>
      <c r="N24" s="991" t="s">
        <v>2439</v>
      </c>
      <c r="O24" s="991" t="s">
        <v>2439</v>
      </c>
      <c r="P24" s="992" t="s">
        <v>342</v>
      </c>
      <c r="Q24" s="988" t="s">
        <v>2356</v>
      </c>
      <c r="R24" s="987" t="s">
        <v>209</v>
      </c>
      <c r="S24" s="993"/>
      <c r="U24"/>
      <c r="V24" s="755" t="str">
        <f t="shared" si="2"/>
        <v>〇畑緩傾斜</v>
      </c>
    </row>
    <row r="25" spans="1:29" ht="18" customHeight="1" x14ac:dyDescent="0.15">
      <c r="A25" s="986" t="s">
        <v>869</v>
      </c>
      <c r="B25" s="987" t="s">
        <v>191</v>
      </c>
      <c r="C25" s="987" t="s">
        <v>352</v>
      </c>
      <c r="D25" s="987" t="s">
        <v>258</v>
      </c>
      <c r="E25" s="988" t="s">
        <v>247</v>
      </c>
      <c r="F25" s="989">
        <v>1477</v>
      </c>
      <c r="G25" s="990" t="s">
        <v>243</v>
      </c>
      <c r="H25" s="991"/>
      <c r="I25" s="288">
        <f>IFERROR(VLOOKUP(V25,プルダウンリスト!$D$15:$E$70,2,FALSE),"")</f>
        <v>3500</v>
      </c>
      <c r="J25" s="288">
        <f t="shared" si="1"/>
        <v>5169</v>
      </c>
      <c r="K25" s="991"/>
      <c r="L25" s="991" t="s">
        <v>2439</v>
      </c>
      <c r="M25" s="991" t="s">
        <v>2439</v>
      </c>
      <c r="N25" s="991" t="s">
        <v>2439</v>
      </c>
      <c r="O25" s="991" t="s">
        <v>2439</v>
      </c>
      <c r="P25" s="992" t="s">
        <v>342</v>
      </c>
      <c r="Q25" s="988" t="s">
        <v>2356</v>
      </c>
      <c r="R25" s="987" t="s">
        <v>209</v>
      </c>
      <c r="S25" s="993"/>
      <c r="U25"/>
      <c r="V25" s="755" t="str">
        <f t="shared" si="2"/>
        <v>〇畑緩傾斜</v>
      </c>
    </row>
    <row r="26" spans="1:29" ht="18" customHeight="1" x14ac:dyDescent="0.15">
      <c r="A26" s="986" t="s">
        <v>869</v>
      </c>
      <c r="B26" s="987" t="s">
        <v>191</v>
      </c>
      <c r="C26" s="987" t="s">
        <v>352</v>
      </c>
      <c r="D26" s="987" t="s">
        <v>259</v>
      </c>
      <c r="E26" s="988" t="s">
        <v>247</v>
      </c>
      <c r="F26" s="989">
        <v>139</v>
      </c>
      <c r="G26" s="990" t="s">
        <v>243</v>
      </c>
      <c r="H26" s="991"/>
      <c r="I26" s="288">
        <f>IFERROR(VLOOKUP(V26,プルダウンリスト!$D$15:$E$70,2,FALSE),"")</f>
        <v>3500</v>
      </c>
      <c r="J26" s="288">
        <f t="shared" si="1"/>
        <v>486</v>
      </c>
      <c r="K26" s="991"/>
      <c r="L26" s="991" t="s">
        <v>2439</v>
      </c>
      <c r="M26" s="991" t="s">
        <v>2439</v>
      </c>
      <c r="N26" s="991" t="s">
        <v>2439</v>
      </c>
      <c r="O26" s="991" t="s">
        <v>2439</v>
      </c>
      <c r="P26" s="992" t="s">
        <v>342</v>
      </c>
      <c r="Q26" s="988" t="s">
        <v>2356</v>
      </c>
      <c r="R26" s="987" t="s">
        <v>209</v>
      </c>
      <c r="S26" s="993"/>
      <c r="U26"/>
      <c r="V26" s="755" t="str">
        <f t="shared" si="2"/>
        <v>〇畑緩傾斜</v>
      </c>
    </row>
    <row r="27" spans="1:29" ht="18" customHeight="1" x14ac:dyDescent="0.15">
      <c r="A27" s="986" t="s">
        <v>869</v>
      </c>
      <c r="B27" s="987" t="s">
        <v>191</v>
      </c>
      <c r="C27" s="987" t="s">
        <v>353</v>
      </c>
      <c r="D27" s="987" t="s">
        <v>253</v>
      </c>
      <c r="E27" s="988" t="s">
        <v>242</v>
      </c>
      <c r="F27" s="989">
        <v>1105</v>
      </c>
      <c r="G27" s="990" t="s">
        <v>243</v>
      </c>
      <c r="H27" s="991"/>
      <c r="I27" s="288">
        <f>IFERROR(VLOOKUP(V27,プルダウンリスト!$D$15:$E$70,2,FALSE),"")</f>
        <v>8000</v>
      </c>
      <c r="J27" s="288">
        <f t="shared" si="1"/>
        <v>8840</v>
      </c>
      <c r="K27" s="991"/>
      <c r="L27" s="991" t="s">
        <v>2439</v>
      </c>
      <c r="M27" s="991" t="s">
        <v>2439</v>
      </c>
      <c r="N27" s="991" t="s">
        <v>2439</v>
      </c>
      <c r="O27" s="991" t="s">
        <v>2439</v>
      </c>
      <c r="P27" s="992" t="s">
        <v>866</v>
      </c>
      <c r="Q27" s="988" t="s">
        <v>2355</v>
      </c>
      <c r="R27" s="987" t="s">
        <v>209</v>
      </c>
      <c r="S27" s="993"/>
      <c r="U27"/>
      <c r="V27" s="755" t="str">
        <f t="shared" si="2"/>
        <v>〇田緩傾斜</v>
      </c>
    </row>
    <row r="28" spans="1:29" ht="18" customHeight="1" x14ac:dyDescent="0.15">
      <c r="A28" s="986" t="s">
        <v>869</v>
      </c>
      <c r="B28" s="987" t="s">
        <v>191</v>
      </c>
      <c r="C28" s="987" t="s">
        <v>354</v>
      </c>
      <c r="D28" s="987" t="s">
        <v>258</v>
      </c>
      <c r="E28" s="988" t="s">
        <v>242</v>
      </c>
      <c r="F28" s="989">
        <v>84</v>
      </c>
      <c r="G28" s="990" t="s">
        <v>243</v>
      </c>
      <c r="H28" s="991"/>
      <c r="I28" s="288">
        <f>IFERROR(VLOOKUP(V28,プルダウンリスト!$D$15:$E$70,2,FALSE),"")</f>
        <v>8000</v>
      </c>
      <c r="J28" s="288">
        <f t="shared" si="1"/>
        <v>672</v>
      </c>
      <c r="K28" s="991"/>
      <c r="L28" s="991" t="s">
        <v>2439</v>
      </c>
      <c r="M28" s="991" t="s">
        <v>2439</v>
      </c>
      <c r="N28" s="991" t="s">
        <v>2439</v>
      </c>
      <c r="O28" s="991" t="s">
        <v>2439</v>
      </c>
      <c r="P28" s="992" t="s">
        <v>866</v>
      </c>
      <c r="Q28" s="988" t="s">
        <v>2355</v>
      </c>
      <c r="R28" s="987" t="s">
        <v>209</v>
      </c>
      <c r="S28" s="993"/>
      <c r="U28"/>
      <c r="V28" s="755" t="str">
        <f t="shared" si="2"/>
        <v>〇田緩傾斜</v>
      </c>
    </row>
    <row r="29" spans="1:29" ht="18" customHeight="1" x14ac:dyDescent="0.15">
      <c r="A29" s="986" t="s">
        <v>2359</v>
      </c>
      <c r="B29" s="987" t="s">
        <v>191</v>
      </c>
      <c r="C29" s="987" t="s">
        <v>354</v>
      </c>
      <c r="D29" s="987" t="s">
        <v>259</v>
      </c>
      <c r="E29" s="988" t="s">
        <v>242</v>
      </c>
      <c r="F29" s="989">
        <v>220</v>
      </c>
      <c r="G29" s="990" t="s">
        <v>243</v>
      </c>
      <c r="H29" s="991"/>
      <c r="I29" s="288">
        <f>IFERROR(VLOOKUP(V29,プルダウンリスト!$D$15:$E$70,2,FALSE),"")</f>
        <v>8000</v>
      </c>
      <c r="J29" s="288">
        <f t="shared" si="1"/>
        <v>1760</v>
      </c>
      <c r="K29" s="991"/>
      <c r="L29" s="991" t="s">
        <v>2439</v>
      </c>
      <c r="M29" s="991" t="s">
        <v>2439</v>
      </c>
      <c r="N29" s="991" t="s">
        <v>2439</v>
      </c>
      <c r="O29" s="991" t="s">
        <v>2439</v>
      </c>
      <c r="P29" s="992" t="s">
        <v>342</v>
      </c>
      <c r="Q29" s="988" t="s">
        <v>2354</v>
      </c>
      <c r="R29" s="987" t="s">
        <v>209</v>
      </c>
      <c r="S29" s="993"/>
      <c r="U29"/>
      <c r="V29" s="755" t="str">
        <f t="shared" si="2"/>
        <v>〇田緩傾斜</v>
      </c>
    </row>
    <row r="30" spans="1:29" s="135" customFormat="1" ht="21" x14ac:dyDescent="0.15">
      <c r="A30" s="1757" t="s">
        <v>2330</v>
      </c>
      <c r="B30" s="1758"/>
      <c r="C30" s="1758"/>
      <c r="D30" s="1758"/>
      <c r="E30" s="1758"/>
      <c r="F30" s="1758"/>
      <c r="G30" s="1758"/>
      <c r="H30" s="1758"/>
      <c r="I30" s="1758"/>
      <c r="J30" s="1758"/>
      <c r="K30" s="1758"/>
      <c r="L30" s="1758"/>
      <c r="M30" s="1758"/>
      <c r="N30" s="1758"/>
      <c r="O30" s="1758"/>
      <c r="P30" s="1758"/>
      <c r="Q30" s="1758"/>
      <c r="R30" s="1758"/>
      <c r="S30" s="1759"/>
      <c r="U30" s="137"/>
      <c r="V30" s="974"/>
    </row>
    <row r="31" spans="1:29" s="135" customFormat="1" ht="29.25" thickBot="1" x14ac:dyDescent="0.2">
      <c r="A31" s="142"/>
      <c r="B31" s="143"/>
      <c r="C31" s="143"/>
      <c r="D31" s="143"/>
      <c r="E31" s="143"/>
      <c r="F31" s="144">
        <f>SUM(F18:F29)</f>
        <v>10535</v>
      </c>
      <c r="G31" s="145"/>
      <c r="H31" s="146"/>
      <c r="I31" s="145"/>
      <c r="J31" s="147"/>
      <c r="K31" s="143"/>
      <c r="L31" s="143"/>
      <c r="M31" s="143"/>
      <c r="N31" s="143"/>
      <c r="O31" s="143"/>
      <c r="P31" s="145"/>
      <c r="Q31" s="146"/>
      <c r="R31" s="143"/>
      <c r="S31" s="148"/>
      <c r="T31"/>
      <c r="U31" s="149"/>
      <c r="V31" s="756" t="s">
        <v>359</v>
      </c>
      <c r="W31"/>
      <c r="X31"/>
      <c r="Y31"/>
      <c r="Z31"/>
      <c r="AA31"/>
      <c r="AB31"/>
      <c r="AC31"/>
    </row>
    <row r="32" spans="1:29" s="135" customFormat="1" ht="359.45" customHeight="1" x14ac:dyDescent="0.15">
      <c r="A32" s="1713" t="s">
        <v>2434</v>
      </c>
      <c r="B32" s="1713"/>
      <c r="C32" s="1713"/>
      <c r="D32" s="1713"/>
      <c r="E32" s="1713"/>
      <c r="F32" s="1713"/>
      <c r="G32" s="1713"/>
      <c r="H32" s="1713"/>
      <c r="I32" s="1713"/>
      <c r="J32" s="1713"/>
      <c r="K32" s="1713"/>
      <c r="L32" s="1713"/>
      <c r="M32" s="1713"/>
      <c r="N32" s="1713"/>
      <c r="O32" s="1713"/>
      <c r="P32" s="1713"/>
      <c r="Q32" s="1713"/>
      <c r="R32" s="1713"/>
      <c r="S32" s="1713"/>
      <c r="T32" s="1713"/>
      <c r="V32" s="136"/>
    </row>
    <row r="33" spans="1:22" s="135" customFormat="1" x14ac:dyDescent="0.15">
      <c r="V33" s="136"/>
    </row>
    <row r="34" spans="1:22" x14ac:dyDescent="0.15">
      <c r="A34" s="135" t="s">
        <v>1992</v>
      </c>
    </row>
  </sheetData>
  <sheetProtection formatCells="0" formatColumns="0" formatRows="0" insertColumns="0" insertRows="0" insertHyperlinks="0" deleteColumns="0" deleteRows="0" sort="0" autoFilter="0" pivotTables="0"/>
  <mergeCells count="23">
    <mergeCell ref="G6:G7"/>
    <mergeCell ref="A30:S30"/>
    <mergeCell ref="G8:G9"/>
    <mergeCell ref="C6:D6"/>
    <mergeCell ref="C7:D7"/>
    <mergeCell ref="C8:D8"/>
    <mergeCell ref="C9:D9"/>
    <mergeCell ref="A32:T32"/>
    <mergeCell ref="A2:S2"/>
    <mergeCell ref="A12:S13"/>
    <mergeCell ref="V12:V16"/>
    <mergeCell ref="A4:S4"/>
    <mergeCell ref="R16:R17"/>
    <mergeCell ref="S16:S17"/>
    <mergeCell ref="P16:Q16"/>
    <mergeCell ref="P14:R14"/>
    <mergeCell ref="P15:R15"/>
    <mergeCell ref="A14:H16"/>
    <mergeCell ref="I14:I16"/>
    <mergeCell ref="K14:O15"/>
    <mergeCell ref="C10:D10"/>
    <mergeCell ref="F6:F7"/>
    <mergeCell ref="F8:F9"/>
  </mergeCells>
  <phoneticPr fontId="3"/>
  <conditionalFormatting sqref="C6:D10">
    <cfRule type="duplicateValues" dxfId="5" priority="42"/>
  </conditionalFormatting>
  <conditionalFormatting sqref="S14:S15">
    <cfRule type="duplicateValues" dxfId="4" priority="2"/>
  </conditionalFormatting>
  <dataValidations xWindow="1134" yWindow="882" count="11">
    <dataValidation allowBlank="1" showInputMessage="1" showErrorMessage="1" error="「〇」以外は入力できません。" sqref="G8:G9"/>
    <dataValidation type="list" allowBlank="1" showInputMessage="1" showErrorMessage="1" sqref="C6:D10">
      <formula1>"棚田地域振興活動加算,超急傾斜農地保全管理加算,ネットワーク化加算,スマート農業加算,集落機能強化加算の経過措置"</formula1>
    </dataValidation>
    <dataValidation type="list" allowBlank="1" showInputMessage="1" showErrorMessage="1" prompt="ネットワーク化活動計画の作成の有無を選択" sqref="S14:S15">
      <formula1>"　,〇,"</formula1>
    </dataValidation>
    <dataValidation type="list" allowBlank="1" showInputMessage="1" prompt="通常地域、特認地域から選択" sqref="A30">
      <formula1>"通常地域,特認地域"</formula1>
    </dataValidation>
    <dataValidation type="list" allowBlank="1" showInputMessage="1" showErrorMessage="1" prompt="該当する場合に「〇」を記載" sqref="H18:H29">
      <formula1>"　,〇,"</formula1>
    </dataValidation>
    <dataValidation type="list" allowBlank="1" showInputMessage="1" prompt="通常地域（8法内）、通常地域（8法外で棚田法の交付対象農用地）、特認地域から選択" sqref="A18:A29">
      <formula1>"通常地域（8法内）,通常地域（8法以外で棚田法の交付対象農用地）,特認地域"</formula1>
    </dataValidation>
    <dataValidation type="list" allowBlank="1" showInputMessage="1" showErrorMessage="1" error="田、畑、草地、採草放牧地から選択してください。" prompt="田、畑、草地、採草放牧地から選択" sqref="E18:E29">
      <formula1>地目</formula1>
    </dataValidation>
    <dataValidation type="list" allowBlank="1" showInputMessage="1" prompt="該当する場合に「〇」を記載" sqref="S18:S29">
      <formula1>"〇"</formula1>
    </dataValidation>
    <dataValidation type="decimal" operator="greaterThanOrEqual" allowBlank="1" showInputMessage="1" showErrorMessage="1" error="数値を半角で記載してください。" sqref="F18:F29">
      <formula1>0</formula1>
    </dataValidation>
    <dataValidation type="list" allowBlank="1" showInputMessage="1" showErrorMessage="1" error="「〇」以外は入力できません。" prompt="活用する加算に「〇」を記載" sqref="K18:O29">
      <formula1>"　,〇,"</formula1>
    </dataValidation>
    <dataValidation type="list" allowBlank="1" showInputMessage="1" showErrorMessage="1" error="該当する傾斜等を選択してください。" prompt="該当する交付基準（傾斜等）を選択" sqref="G18:G29">
      <formula1>INDIRECT(E18)</formula1>
    </dataValidation>
  </dataValidations>
  <pageMargins left="0.51181102362204722" right="0.51181102362204722" top="0.74803149606299213" bottom="0.74803149606299213" header="0.31496062992125984" footer="0.31496062992125984"/>
  <pageSetup paperSize="9" scale="78" fitToHeight="0" orientation="landscape" r:id="rId1"/>
  <drawing r:id="rId2"/>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14:formula1>
            <xm:f>プルダウンリスト!$A$75:$A$82</xm:f>
          </x14:formula1>
          <xm:sqref>P18:P29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CC"/>
    <pageSetUpPr fitToPage="1"/>
  </sheetPr>
  <dimension ref="A1:CJ134"/>
  <sheetViews>
    <sheetView showGridLines="0" tabSelected="1" view="pageBreakPreview" zoomScale="70" zoomScaleNormal="100" zoomScaleSheetLayoutView="70" workbookViewId="0">
      <selection activeCell="S8" sqref="S8"/>
    </sheetView>
  </sheetViews>
  <sheetFormatPr defaultRowHeight="13.5" x14ac:dyDescent="0.15"/>
  <cols>
    <col min="1" max="1" width="2.875" customWidth="1"/>
    <col min="2" max="35" width="2.625" style="66" customWidth="1"/>
  </cols>
  <sheetData>
    <row r="1" spans="1:35" ht="15.6" customHeight="1" x14ac:dyDescent="0.15">
      <c r="A1" s="1098"/>
      <c r="B1" s="1099"/>
      <c r="C1" s="1099"/>
      <c r="D1" s="1099"/>
      <c r="E1" s="1099"/>
      <c r="F1" s="1099"/>
      <c r="G1" s="1099"/>
      <c r="H1" s="1099"/>
      <c r="I1" s="1099"/>
      <c r="J1" s="1099"/>
      <c r="K1" s="1099"/>
      <c r="L1" s="1099"/>
      <c r="M1" s="1099"/>
      <c r="N1" s="1099"/>
      <c r="O1" s="1099"/>
      <c r="P1" s="1099"/>
      <c r="Q1" s="1099"/>
      <c r="R1" s="1099"/>
      <c r="S1" s="1099"/>
      <c r="T1" s="1099"/>
      <c r="U1" s="1099"/>
      <c r="V1" s="1099"/>
      <c r="W1" s="1099"/>
      <c r="X1" s="1099"/>
      <c r="Y1" s="1099"/>
      <c r="Z1" s="1099"/>
      <c r="AA1" s="1099"/>
      <c r="AB1" s="1099"/>
      <c r="AC1" s="1099"/>
      <c r="AD1" s="1099"/>
      <c r="AE1" s="1099"/>
      <c r="AF1" s="1099"/>
      <c r="AG1" s="1099"/>
      <c r="AH1" s="1100" t="s">
        <v>332</v>
      </c>
      <c r="AI1" s="1099"/>
    </row>
    <row r="2" spans="1:35" s="12" customFormat="1" ht="15.6" customHeight="1" x14ac:dyDescent="0.15">
      <c r="A2" s="1101"/>
      <c r="B2" s="1102" t="s">
        <v>333</v>
      </c>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row>
    <row r="3" spans="1:35" s="66" customFormat="1" ht="36" customHeight="1" x14ac:dyDescent="0.15">
      <c r="A3" s="1099"/>
      <c r="B3" s="1762" t="s">
        <v>334</v>
      </c>
      <c r="C3" s="1762"/>
      <c r="D3" s="1762"/>
      <c r="E3" s="1762"/>
      <c r="F3" s="1762" t="s">
        <v>335</v>
      </c>
      <c r="G3" s="1762"/>
      <c r="H3" s="1762"/>
      <c r="I3" s="1762"/>
      <c r="J3" s="1762"/>
      <c r="K3" s="1762"/>
      <c r="L3" s="1762" t="s">
        <v>336</v>
      </c>
      <c r="M3" s="1762"/>
      <c r="N3" s="1762"/>
      <c r="O3" s="1762"/>
      <c r="P3" s="1762"/>
      <c r="Q3" s="1762"/>
      <c r="R3" s="1762"/>
      <c r="S3" s="1762" t="s">
        <v>337</v>
      </c>
      <c r="T3" s="1762"/>
      <c r="U3" s="1762"/>
      <c r="V3" s="1762"/>
      <c r="W3" s="1762"/>
      <c r="X3" s="1762"/>
      <c r="Y3" s="1762"/>
      <c r="Z3" s="1762"/>
      <c r="AA3" s="1762"/>
      <c r="AB3" s="1762"/>
      <c r="AC3" s="1762" t="s">
        <v>338</v>
      </c>
      <c r="AD3" s="1762"/>
      <c r="AE3" s="1762"/>
      <c r="AF3" s="1762"/>
      <c r="AG3" s="1762"/>
      <c r="AH3" s="1762"/>
      <c r="AI3" s="1099"/>
    </row>
    <row r="4" spans="1:35" s="66" customFormat="1" ht="46.9" customHeight="1" x14ac:dyDescent="0.15">
      <c r="A4" s="1099"/>
      <c r="B4" s="1762" t="s">
        <v>339</v>
      </c>
      <c r="C4" s="1762"/>
      <c r="D4" s="1762"/>
      <c r="E4" s="1762"/>
      <c r="F4" s="1763" t="s">
        <v>856</v>
      </c>
      <c r="G4" s="1763"/>
      <c r="H4" s="1763"/>
      <c r="I4" s="1763"/>
      <c r="J4" s="1763"/>
      <c r="K4" s="1763"/>
      <c r="L4" s="1763" t="s">
        <v>1979</v>
      </c>
      <c r="M4" s="1763"/>
      <c r="N4" s="1763"/>
      <c r="O4" s="1763"/>
      <c r="P4" s="1763"/>
      <c r="Q4" s="1763"/>
      <c r="R4" s="1763"/>
      <c r="S4" s="1764" t="s">
        <v>1981</v>
      </c>
      <c r="T4" s="1764"/>
      <c r="U4" s="1764"/>
      <c r="V4" s="1764"/>
      <c r="W4" s="1764"/>
      <c r="X4" s="1764"/>
      <c r="Y4" s="1764"/>
      <c r="Z4" s="1764"/>
      <c r="AA4" s="1764"/>
      <c r="AB4" s="1764"/>
      <c r="AC4" s="1763" t="s">
        <v>1980</v>
      </c>
      <c r="AD4" s="1763"/>
      <c r="AE4" s="1763"/>
      <c r="AF4" s="1763"/>
      <c r="AG4" s="1763"/>
      <c r="AH4" s="1763"/>
      <c r="AI4" s="1099"/>
    </row>
    <row r="5" spans="1:35" s="66" customFormat="1" ht="49.15" customHeight="1" x14ac:dyDescent="0.15">
      <c r="A5" s="1099"/>
      <c r="B5" s="1762" t="s">
        <v>340</v>
      </c>
      <c r="C5" s="1762"/>
      <c r="D5" s="1762"/>
      <c r="E5" s="1762"/>
      <c r="F5" s="1763" t="s">
        <v>857</v>
      </c>
      <c r="G5" s="1763"/>
      <c r="H5" s="1763"/>
      <c r="I5" s="1763"/>
      <c r="J5" s="1763"/>
      <c r="K5" s="1763"/>
      <c r="L5" s="1763" t="s">
        <v>1979</v>
      </c>
      <c r="M5" s="1763"/>
      <c r="N5" s="1763"/>
      <c r="O5" s="1763"/>
      <c r="P5" s="1763"/>
      <c r="Q5" s="1763"/>
      <c r="R5" s="1763"/>
      <c r="S5" s="1764" t="s">
        <v>1981</v>
      </c>
      <c r="T5" s="1764"/>
      <c r="U5" s="1764"/>
      <c r="V5" s="1764"/>
      <c r="W5" s="1764"/>
      <c r="X5" s="1764"/>
      <c r="Y5" s="1764"/>
      <c r="Z5" s="1764"/>
      <c r="AA5" s="1764"/>
      <c r="AB5" s="1764"/>
      <c r="AC5" s="1763" t="s">
        <v>1980</v>
      </c>
      <c r="AD5" s="1763"/>
      <c r="AE5" s="1763"/>
      <c r="AF5" s="1763"/>
      <c r="AG5" s="1763"/>
      <c r="AH5" s="1763"/>
      <c r="AI5" s="1099"/>
    </row>
    <row r="6" spans="1:35" s="66" customFormat="1" ht="54" customHeight="1" x14ac:dyDescent="0.15">
      <c r="A6" s="1099"/>
      <c r="B6" s="1762" t="s">
        <v>859</v>
      </c>
      <c r="C6" s="1762"/>
      <c r="D6" s="1762"/>
      <c r="E6" s="1762"/>
      <c r="F6" s="1763" t="s">
        <v>858</v>
      </c>
      <c r="G6" s="1763"/>
      <c r="H6" s="1763"/>
      <c r="I6" s="1763"/>
      <c r="J6" s="1763"/>
      <c r="K6" s="1763"/>
      <c r="L6" s="1763" t="s">
        <v>356</v>
      </c>
      <c r="M6" s="1763"/>
      <c r="N6" s="1763"/>
      <c r="O6" s="1763"/>
      <c r="P6" s="1763"/>
      <c r="Q6" s="1763"/>
      <c r="R6" s="1763"/>
      <c r="S6" s="1764" t="s">
        <v>1982</v>
      </c>
      <c r="T6" s="1764"/>
      <c r="U6" s="1764"/>
      <c r="V6" s="1764"/>
      <c r="W6" s="1764"/>
      <c r="X6" s="1764"/>
      <c r="Y6" s="1764"/>
      <c r="Z6" s="1764"/>
      <c r="AA6" s="1764"/>
      <c r="AB6" s="1764"/>
      <c r="AC6" s="1763" t="s">
        <v>357</v>
      </c>
      <c r="AD6" s="1763"/>
      <c r="AE6" s="1763"/>
      <c r="AF6" s="1763"/>
      <c r="AG6" s="1763"/>
      <c r="AH6" s="1763"/>
      <c r="AI6" s="1099"/>
    </row>
    <row r="7" spans="1:35" s="66" customFormat="1" ht="13.5" customHeight="1" x14ac:dyDescent="0.15">
      <c r="A7" s="1099"/>
      <c r="B7" s="1099"/>
      <c r="C7" s="1099"/>
      <c r="D7" s="1099"/>
      <c r="E7" s="1099"/>
      <c r="F7" s="1099"/>
      <c r="G7" s="1099"/>
      <c r="H7" s="1099"/>
      <c r="I7" s="1099"/>
      <c r="J7" s="1099"/>
      <c r="K7" s="1099"/>
      <c r="L7" s="1099"/>
      <c r="M7" s="1099"/>
      <c r="N7" s="1099"/>
      <c r="O7" s="1099"/>
      <c r="P7" s="1099"/>
      <c r="Q7" s="1099"/>
      <c r="R7" s="1099"/>
      <c r="S7" s="1099"/>
      <c r="T7" s="1099"/>
      <c r="U7" s="1099"/>
      <c r="V7" s="1099"/>
      <c r="W7" s="1099"/>
      <c r="X7" s="1099"/>
      <c r="Y7" s="1099"/>
      <c r="Z7" s="1099"/>
      <c r="AA7" s="1099"/>
      <c r="AB7" s="1099"/>
      <c r="AC7" s="1099"/>
      <c r="AD7" s="1099"/>
      <c r="AE7" s="1099"/>
      <c r="AF7" s="1099"/>
      <c r="AG7" s="1099"/>
      <c r="AH7" s="1099"/>
      <c r="AI7" s="1099"/>
    </row>
    <row r="8" spans="1:35" s="66" customFormat="1" ht="13.5" customHeight="1" x14ac:dyDescent="0.15">
      <c r="A8" s="1099"/>
      <c r="B8" s="1099"/>
      <c r="C8" s="1099"/>
      <c r="D8" s="1099"/>
      <c r="E8" s="1099"/>
      <c r="F8" s="1099"/>
      <c r="G8" s="1099"/>
      <c r="H8" s="1099"/>
      <c r="I8" s="1099"/>
      <c r="J8" s="1099"/>
      <c r="K8" s="1099"/>
      <c r="L8" s="1099"/>
      <c r="M8" s="1099"/>
      <c r="N8" s="1099"/>
      <c r="O8" s="1099"/>
      <c r="P8" s="1099"/>
      <c r="Q8" s="1099"/>
      <c r="R8" s="1099"/>
      <c r="S8" s="1099"/>
      <c r="T8" s="1099"/>
      <c r="U8" s="1099"/>
      <c r="V8" s="1099"/>
      <c r="W8" s="1099"/>
      <c r="X8" s="1099"/>
      <c r="Y8" s="1099"/>
      <c r="Z8" s="1099"/>
      <c r="AA8" s="1099"/>
      <c r="AB8" s="1099"/>
      <c r="AC8" s="1099"/>
      <c r="AD8" s="1099"/>
      <c r="AE8" s="1099"/>
      <c r="AF8" s="1099"/>
      <c r="AG8" s="1099"/>
      <c r="AH8" s="1099"/>
      <c r="AI8" s="1099"/>
    </row>
    <row r="9" spans="1:35" x14ac:dyDescent="0.15">
      <c r="A9" s="1098"/>
      <c r="B9" s="1099"/>
      <c r="C9" s="1099"/>
      <c r="D9" s="1099"/>
      <c r="E9" s="1099"/>
      <c r="F9" s="1099"/>
      <c r="G9" s="1099"/>
      <c r="H9" s="1099"/>
      <c r="I9" s="1099"/>
      <c r="J9" s="1099"/>
      <c r="K9" s="1099"/>
      <c r="L9" s="1099"/>
      <c r="M9" s="1099"/>
      <c r="N9" s="1099"/>
      <c r="O9" s="1099"/>
      <c r="P9" s="1099"/>
      <c r="Q9" s="1099"/>
      <c r="R9" s="1099"/>
      <c r="S9" s="1099"/>
      <c r="T9" s="1099"/>
      <c r="U9" s="1099"/>
      <c r="V9" s="1099"/>
      <c r="W9" s="1099"/>
      <c r="X9" s="1099"/>
      <c r="Y9" s="1099"/>
      <c r="Z9" s="1099"/>
      <c r="AA9" s="1099"/>
      <c r="AB9" s="1099"/>
      <c r="AC9" s="1099"/>
      <c r="AD9" s="1099"/>
      <c r="AE9" s="1099"/>
      <c r="AF9" s="1099"/>
      <c r="AG9" s="1099"/>
      <c r="AH9" s="1099"/>
      <c r="AI9" s="1099"/>
    </row>
    <row r="10" spans="1:35" s="66" customFormat="1" ht="13.5" customHeight="1" x14ac:dyDescent="0.15">
      <c r="A10" s="1099"/>
      <c r="B10" s="1099"/>
      <c r="C10" s="1099"/>
      <c r="D10" s="1099"/>
      <c r="E10" s="1099"/>
      <c r="F10" s="1099"/>
      <c r="G10" s="1099"/>
      <c r="H10" s="1099"/>
      <c r="I10" s="1099"/>
      <c r="J10" s="1099"/>
      <c r="K10" s="1099"/>
      <c r="L10" s="1099"/>
      <c r="M10" s="1099"/>
      <c r="N10" s="1099"/>
      <c r="O10" s="1099"/>
      <c r="P10" s="1099"/>
      <c r="Q10" s="1099"/>
      <c r="R10" s="1099"/>
      <c r="S10" s="1099"/>
      <c r="T10" s="1099"/>
      <c r="U10" s="1099"/>
      <c r="V10" s="1099"/>
      <c r="W10" s="1099"/>
      <c r="X10" s="1099"/>
      <c r="Y10" s="1099"/>
      <c r="Z10" s="1099"/>
      <c r="AA10" s="1099"/>
      <c r="AB10" s="1099"/>
      <c r="AC10" s="1099"/>
      <c r="AD10" s="1099"/>
      <c r="AE10" s="1099"/>
      <c r="AF10" s="1099"/>
      <c r="AG10" s="1099"/>
      <c r="AH10" s="1099"/>
      <c r="AI10" s="1099"/>
    </row>
    <row r="11" spans="1:35" s="66" customFormat="1" ht="13.5" customHeight="1" x14ac:dyDescent="0.15">
      <c r="A11" s="1099"/>
      <c r="B11" s="1099"/>
      <c r="C11" s="1099"/>
      <c r="D11" s="1099"/>
      <c r="E11" s="1099"/>
      <c r="F11" s="1099"/>
      <c r="G11" s="1099"/>
      <c r="H11" s="1099"/>
      <c r="I11" s="1099"/>
      <c r="J11" s="1099"/>
      <c r="K11" s="1099"/>
      <c r="L11" s="1099"/>
      <c r="M11" s="1099"/>
      <c r="N11" s="1099"/>
      <c r="O11" s="1099"/>
      <c r="P11" s="1099"/>
      <c r="Q11" s="1099"/>
      <c r="R11" s="1099"/>
      <c r="S11" s="1099"/>
      <c r="T11" s="1099"/>
      <c r="U11" s="1099"/>
      <c r="V11" s="1099"/>
      <c r="W11" s="1099"/>
      <c r="X11" s="1099"/>
      <c r="Y11" s="1099"/>
      <c r="Z11" s="1099"/>
      <c r="AA11" s="1099"/>
      <c r="AB11" s="1099"/>
      <c r="AC11" s="1099"/>
      <c r="AD11" s="1099"/>
      <c r="AE11" s="1099"/>
      <c r="AF11" s="1099"/>
      <c r="AG11" s="1099"/>
      <c r="AH11" s="1099"/>
      <c r="AI11" s="1099"/>
    </row>
    <row r="12" spans="1:35" s="66" customFormat="1" ht="13.5" customHeight="1" x14ac:dyDescent="0.15">
      <c r="A12" s="1099"/>
      <c r="B12" s="1099"/>
      <c r="C12" s="1099"/>
      <c r="D12" s="1099"/>
      <c r="E12" s="1099"/>
      <c r="F12" s="1099"/>
      <c r="G12" s="1099"/>
      <c r="H12" s="1099"/>
      <c r="I12" s="1099"/>
      <c r="J12" s="1099"/>
      <c r="K12" s="1099"/>
      <c r="L12" s="1099"/>
      <c r="M12" s="1099"/>
      <c r="N12" s="1099"/>
      <c r="O12" s="1099"/>
      <c r="P12" s="1099"/>
      <c r="Q12" s="1099"/>
      <c r="R12" s="1099"/>
      <c r="S12" s="1099"/>
      <c r="T12" s="1099"/>
      <c r="U12" s="1099"/>
      <c r="V12" s="1099"/>
      <c r="W12" s="1099"/>
      <c r="X12" s="1099"/>
      <c r="Y12" s="1099"/>
      <c r="Z12" s="1099"/>
      <c r="AA12" s="1099"/>
      <c r="AB12" s="1099"/>
      <c r="AC12" s="1099"/>
      <c r="AD12" s="1099"/>
      <c r="AE12" s="1099"/>
      <c r="AF12" s="1099"/>
      <c r="AG12" s="1099"/>
      <c r="AH12" s="1099"/>
      <c r="AI12" s="1099"/>
    </row>
    <row r="13" spans="1:35" s="66" customFormat="1" ht="13.5" customHeight="1" x14ac:dyDescent="0.15">
      <c r="A13" s="1099"/>
      <c r="B13" s="1099"/>
      <c r="C13" s="1099"/>
      <c r="D13" s="1099"/>
      <c r="E13" s="1099"/>
      <c r="F13" s="1099"/>
      <c r="G13" s="1099"/>
      <c r="H13" s="1099"/>
      <c r="I13" s="1099"/>
      <c r="J13" s="1099"/>
      <c r="K13" s="1099"/>
      <c r="L13" s="1099"/>
      <c r="M13" s="1099"/>
      <c r="N13" s="1099"/>
      <c r="O13" s="1099"/>
      <c r="P13" s="1099"/>
      <c r="Q13" s="1099"/>
      <c r="R13" s="1099"/>
      <c r="S13" s="1099"/>
      <c r="T13" s="1099"/>
      <c r="U13" s="1099"/>
      <c r="V13" s="1099"/>
      <c r="W13" s="1099"/>
      <c r="X13" s="1099"/>
      <c r="Y13" s="1099"/>
      <c r="Z13" s="1099"/>
      <c r="AA13" s="1099"/>
      <c r="AB13" s="1099"/>
      <c r="AC13" s="1099"/>
      <c r="AD13" s="1099"/>
      <c r="AE13" s="1099"/>
      <c r="AF13" s="1099"/>
      <c r="AG13" s="1099"/>
      <c r="AH13" s="1099"/>
      <c r="AI13" s="1099"/>
    </row>
    <row r="14" spans="1:35" s="66" customFormat="1" ht="13.5" customHeight="1" x14ac:dyDescent="0.15">
      <c r="A14" s="1099"/>
      <c r="B14" s="1099"/>
      <c r="C14" s="1099"/>
      <c r="D14" s="1099"/>
      <c r="E14" s="1099"/>
      <c r="F14" s="1099"/>
      <c r="G14" s="1099"/>
      <c r="H14" s="1099"/>
      <c r="I14" s="1099"/>
      <c r="J14" s="1099"/>
      <c r="K14" s="1099"/>
      <c r="L14" s="1099"/>
      <c r="M14" s="1099"/>
      <c r="N14" s="1099"/>
      <c r="O14" s="1099"/>
      <c r="P14" s="1099"/>
      <c r="Q14" s="1099"/>
      <c r="R14" s="1099"/>
      <c r="S14" s="1099"/>
      <c r="T14" s="1099"/>
      <c r="U14" s="1099"/>
      <c r="V14" s="1099"/>
      <c r="W14" s="1099"/>
      <c r="X14" s="1099"/>
      <c r="Y14" s="1099"/>
      <c r="Z14" s="1099"/>
      <c r="AA14" s="1099"/>
      <c r="AB14" s="1099"/>
      <c r="AC14" s="1099"/>
      <c r="AD14" s="1099"/>
      <c r="AE14" s="1099"/>
      <c r="AF14" s="1099"/>
      <c r="AG14" s="1099"/>
      <c r="AH14" s="1099"/>
      <c r="AI14" s="1099"/>
    </row>
    <row r="15" spans="1:35" s="66" customFormat="1" ht="13.5" customHeight="1" x14ac:dyDescent="0.15">
      <c r="A15" s="1099"/>
      <c r="B15" s="1099"/>
      <c r="C15" s="1099"/>
      <c r="D15" s="1099"/>
      <c r="E15" s="1099"/>
      <c r="F15" s="1099"/>
      <c r="G15" s="1099"/>
      <c r="H15" s="1099"/>
      <c r="I15" s="1099"/>
      <c r="J15" s="1099"/>
      <c r="K15" s="1099"/>
      <c r="L15" s="1099"/>
      <c r="M15" s="1099"/>
      <c r="N15" s="1099"/>
      <c r="O15" s="1099"/>
      <c r="P15" s="1099"/>
      <c r="Q15" s="1099"/>
      <c r="R15" s="1099"/>
      <c r="S15" s="1099"/>
      <c r="T15" s="1099"/>
      <c r="U15" s="1099"/>
      <c r="V15" s="1099"/>
      <c r="W15" s="1099"/>
      <c r="X15" s="1099"/>
      <c r="Y15" s="1099"/>
      <c r="Z15" s="1099"/>
      <c r="AA15" s="1099"/>
      <c r="AB15" s="1099"/>
      <c r="AC15" s="1099"/>
      <c r="AD15" s="1099"/>
      <c r="AE15" s="1099"/>
      <c r="AF15" s="1099"/>
      <c r="AG15" s="1099"/>
      <c r="AH15" s="1099"/>
      <c r="AI15" s="1099"/>
    </row>
    <row r="16" spans="1:35" s="66" customFormat="1" ht="13.5" customHeight="1" x14ac:dyDescent="0.15">
      <c r="A16" s="1099"/>
      <c r="B16" s="1099"/>
      <c r="C16" s="1099"/>
      <c r="D16" s="1099"/>
      <c r="E16" s="1099"/>
      <c r="F16" s="1099"/>
      <c r="G16" s="1099"/>
      <c r="H16" s="1099"/>
      <c r="I16" s="1099"/>
      <c r="J16" s="1099"/>
      <c r="K16" s="1099"/>
      <c r="L16" s="1099"/>
      <c r="M16" s="1099"/>
      <c r="N16" s="1099"/>
      <c r="O16" s="1099"/>
      <c r="P16" s="1099"/>
      <c r="Q16" s="1099"/>
      <c r="R16" s="1099"/>
      <c r="S16" s="1099"/>
      <c r="T16" s="1099"/>
      <c r="U16" s="1099"/>
      <c r="V16" s="1099"/>
      <c r="W16" s="1099"/>
      <c r="X16" s="1099"/>
      <c r="Y16" s="1099"/>
      <c r="Z16" s="1099"/>
      <c r="AA16" s="1099"/>
      <c r="AB16" s="1099"/>
      <c r="AC16" s="1099"/>
      <c r="AD16" s="1099"/>
      <c r="AE16" s="1099"/>
      <c r="AF16" s="1099"/>
      <c r="AG16" s="1099"/>
      <c r="AH16" s="1099"/>
      <c r="AI16" s="1099"/>
    </row>
    <row r="17" spans="1:88" s="66" customFormat="1" ht="13.5" customHeight="1" x14ac:dyDescent="0.15">
      <c r="A17" s="1099"/>
      <c r="B17" s="1099"/>
      <c r="C17" s="1099"/>
      <c r="D17" s="1099"/>
      <c r="E17" s="1099"/>
      <c r="F17" s="1099"/>
      <c r="G17" s="1099"/>
      <c r="H17" s="1099"/>
      <c r="I17" s="1099"/>
      <c r="J17" s="1099"/>
      <c r="K17" s="1099"/>
      <c r="L17" s="1099"/>
      <c r="M17" s="1099"/>
      <c r="N17" s="1099"/>
      <c r="O17" s="1099"/>
      <c r="P17" s="1099"/>
      <c r="Q17" s="1099"/>
      <c r="R17" s="1099"/>
      <c r="S17" s="1099"/>
      <c r="T17" s="1099"/>
      <c r="U17" s="1099"/>
      <c r="V17" s="1099"/>
      <c r="W17" s="1099"/>
      <c r="X17" s="1099"/>
      <c r="Y17" s="1099"/>
      <c r="Z17" s="1099"/>
      <c r="AA17" s="1099"/>
      <c r="AB17" s="1099"/>
      <c r="AC17" s="1099"/>
      <c r="AD17" s="1099"/>
      <c r="AE17" s="1099"/>
      <c r="AF17" s="1099"/>
      <c r="AG17" s="1099"/>
      <c r="AH17" s="1099"/>
      <c r="AI17" s="1099"/>
    </row>
    <row r="18" spans="1:88" s="66" customFormat="1" ht="13.5" customHeight="1" x14ac:dyDescent="0.15">
      <c r="A18" s="1099"/>
      <c r="B18" s="1099"/>
      <c r="C18" s="1099"/>
      <c r="D18" s="1099"/>
      <c r="E18" s="1099"/>
      <c r="F18" s="1099"/>
      <c r="G18" s="1099"/>
      <c r="H18" s="1099"/>
      <c r="I18" s="1099"/>
      <c r="J18" s="1099"/>
      <c r="K18" s="1099"/>
      <c r="L18" s="1099"/>
      <c r="M18" s="1099"/>
      <c r="N18" s="1099"/>
      <c r="O18" s="1099"/>
      <c r="P18" s="1099"/>
      <c r="Q18" s="1099"/>
      <c r="R18" s="1099"/>
      <c r="S18" s="1099"/>
      <c r="T18" s="1099"/>
      <c r="U18" s="1099"/>
      <c r="V18" s="1099"/>
      <c r="W18" s="1099"/>
      <c r="X18" s="1099"/>
      <c r="Y18" s="1099"/>
      <c r="Z18" s="1099"/>
      <c r="AA18" s="1099"/>
      <c r="AB18" s="1099"/>
      <c r="AC18" s="1099"/>
      <c r="AD18" s="1099"/>
      <c r="AE18" s="1099"/>
      <c r="AF18" s="1099"/>
      <c r="AG18" s="1099"/>
      <c r="AH18" s="1099"/>
      <c r="AI18" s="1099"/>
    </row>
    <row r="19" spans="1:88" s="66" customFormat="1" x14ac:dyDescent="0.15">
      <c r="A19" s="1098"/>
      <c r="B19" s="1099"/>
      <c r="C19" s="1099"/>
      <c r="D19" s="1099"/>
      <c r="E19" s="1099"/>
      <c r="F19" s="1099"/>
      <c r="G19" s="1099"/>
      <c r="H19" s="1099"/>
      <c r="I19" s="1099"/>
      <c r="J19" s="1099"/>
      <c r="K19" s="1099"/>
      <c r="L19" s="1099"/>
      <c r="M19" s="1099"/>
      <c r="N19" s="1099"/>
      <c r="O19" s="1099"/>
      <c r="P19" s="1099"/>
      <c r="Q19" s="1099"/>
      <c r="R19" s="1099"/>
      <c r="S19" s="1099"/>
      <c r="T19" s="1099"/>
      <c r="U19" s="1099"/>
      <c r="V19" s="1099"/>
      <c r="W19" s="1099"/>
      <c r="X19" s="1099"/>
      <c r="Y19" s="1099"/>
      <c r="Z19" s="1099"/>
      <c r="AA19" s="1099"/>
      <c r="AB19" s="1099"/>
      <c r="AC19" s="1099"/>
      <c r="AD19" s="1099"/>
      <c r="AE19" s="1099"/>
      <c r="AF19" s="1099"/>
      <c r="AG19" s="1099"/>
      <c r="AH19" s="1099"/>
      <c r="AI19" s="109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row>
    <row r="20" spans="1:88" s="66" customFormat="1" ht="13.5" customHeight="1" x14ac:dyDescent="0.15">
      <c r="A20" s="1099"/>
      <c r="B20" s="1099"/>
      <c r="C20" s="1099"/>
      <c r="D20" s="1099"/>
      <c r="E20" s="1099"/>
      <c r="F20" s="1099"/>
      <c r="G20" s="1099"/>
      <c r="H20" s="1099"/>
      <c r="I20" s="1099"/>
      <c r="J20" s="1099"/>
      <c r="K20" s="1099"/>
      <c r="L20" s="1099"/>
      <c r="M20" s="1099"/>
      <c r="N20" s="1099"/>
      <c r="O20" s="1099"/>
      <c r="P20" s="1099"/>
      <c r="Q20" s="1099"/>
      <c r="R20" s="1099"/>
      <c r="S20" s="1099"/>
      <c r="T20" s="1099"/>
      <c r="U20" s="1099"/>
      <c r="V20" s="1099"/>
      <c r="W20" s="1099"/>
      <c r="X20" s="1099"/>
      <c r="Y20" s="1099"/>
      <c r="Z20" s="1099"/>
      <c r="AA20" s="1099"/>
      <c r="AB20" s="1099"/>
      <c r="AC20" s="1099"/>
      <c r="AD20" s="1099"/>
      <c r="AE20" s="1099"/>
      <c r="AF20" s="1099"/>
      <c r="AG20" s="1099"/>
      <c r="AH20" s="1099"/>
      <c r="AI20" s="1099"/>
    </row>
    <row r="21" spans="1:88" s="66" customFormat="1" ht="13.5" customHeight="1" x14ac:dyDescent="0.15">
      <c r="A21" s="1099"/>
      <c r="B21" s="1099"/>
      <c r="C21" s="1099"/>
      <c r="D21" s="1099"/>
      <c r="E21" s="1099"/>
      <c r="F21" s="1099"/>
      <c r="G21" s="1099"/>
      <c r="H21" s="1099"/>
      <c r="I21" s="1099"/>
      <c r="J21" s="1099"/>
      <c r="K21" s="1099"/>
      <c r="L21" s="1099"/>
      <c r="M21" s="1099"/>
      <c r="N21" s="1099"/>
      <c r="O21" s="1099"/>
      <c r="P21" s="1099"/>
      <c r="Q21" s="1099"/>
      <c r="R21" s="1099"/>
      <c r="S21" s="1099"/>
      <c r="T21" s="1099"/>
      <c r="U21" s="1099"/>
      <c r="V21" s="1099"/>
      <c r="W21" s="1099"/>
      <c r="X21" s="1099"/>
      <c r="Y21" s="1099"/>
      <c r="Z21" s="1099"/>
      <c r="AA21" s="1099"/>
      <c r="AB21" s="1099"/>
      <c r="AC21" s="1099"/>
      <c r="AD21" s="1099"/>
      <c r="AE21" s="1099"/>
      <c r="AF21" s="1099"/>
      <c r="AG21" s="1099"/>
      <c r="AH21" s="1099"/>
      <c r="AI21" s="1099"/>
    </row>
    <row r="22" spans="1:88" s="66" customFormat="1" ht="13.5" customHeight="1" x14ac:dyDescent="0.15">
      <c r="A22" s="1099"/>
      <c r="B22" s="1099"/>
      <c r="C22" s="1099"/>
      <c r="D22" s="1099"/>
      <c r="E22" s="1099"/>
      <c r="F22" s="1099"/>
      <c r="G22" s="1099"/>
      <c r="H22" s="1099"/>
      <c r="I22" s="1099"/>
      <c r="J22" s="1099"/>
      <c r="K22" s="1099"/>
      <c r="L22" s="1099"/>
      <c r="M22" s="1099"/>
      <c r="N22" s="1099"/>
      <c r="O22" s="1099"/>
      <c r="P22" s="1099"/>
      <c r="Q22" s="1099"/>
      <c r="R22" s="1099"/>
      <c r="S22" s="1099"/>
      <c r="T22" s="1099"/>
      <c r="U22" s="1099"/>
      <c r="V22" s="1099"/>
      <c r="W22" s="1099"/>
      <c r="X22" s="1099"/>
      <c r="Y22" s="1099"/>
      <c r="Z22" s="1099"/>
      <c r="AA22" s="1099"/>
      <c r="AB22" s="1099"/>
      <c r="AC22" s="1099"/>
      <c r="AD22" s="1099"/>
      <c r="AE22" s="1099"/>
      <c r="AF22" s="1099"/>
      <c r="AG22" s="1099"/>
      <c r="AH22" s="1099"/>
      <c r="AI22" s="1099"/>
    </row>
    <row r="23" spans="1:88" s="66" customFormat="1" ht="13.5" customHeight="1" x14ac:dyDescent="0.15">
      <c r="A23" s="1099"/>
      <c r="B23" s="1099"/>
      <c r="C23" s="1099"/>
      <c r="D23" s="1099"/>
      <c r="E23" s="1099"/>
      <c r="F23" s="1099"/>
      <c r="G23" s="1099"/>
      <c r="H23" s="1099"/>
      <c r="I23" s="1099"/>
      <c r="J23" s="1099"/>
      <c r="K23" s="1099"/>
      <c r="L23" s="1099"/>
      <c r="M23" s="1099"/>
      <c r="N23" s="1099"/>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row>
    <row r="24" spans="1:88" s="66" customFormat="1" ht="13.5" customHeight="1" x14ac:dyDescent="0.15">
      <c r="A24" s="1099"/>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row>
    <row r="25" spans="1:88" s="66" customFormat="1" ht="13.5" customHeight="1" x14ac:dyDescent="0.15">
      <c r="A25" s="1099"/>
      <c r="B25" s="1099"/>
      <c r="C25" s="1099"/>
      <c r="D25" s="1099"/>
      <c r="E25" s="1099"/>
      <c r="F25" s="1099"/>
      <c r="G25" s="1099"/>
      <c r="H25" s="1099"/>
      <c r="I25" s="1099"/>
      <c r="J25" s="1099"/>
      <c r="K25" s="1099"/>
      <c r="L25" s="1099"/>
      <c r="M25" s="1099"/>
      <c r="N25" s="1099"/>
      <c r="O25" s="1099"/>
      <c r="P25" s="1099"/>
      <c r="Q25" s="1099"/>
      <c r="R25" s="1099"/>
      <c r="S25" s="1099"/>
      <c r="T25" s="1099"/>
      <c r="U25" s="1099"/>
      <c r="V25" s="1099"/>
      <c r="W25" s="1099"/>
      <c r="X25" s="1099"/>
      <c r="Y25" s="1099"/>
      <c r="Z25" s="1099"/>
      <c r="AA25" s="1099"/>
      <c r="AB25" s="1099"/>
      <c r="AC25" s="1099"/>
      <c r="AD25" s="1099"/>
      <c r="AE25" s="1099"/>
      <c r="AF25" s="1099"/>
      <c r="AG25" s="1099"/>
      <c r="AH25" s="1099"/>
      <c r="AI25" s="1099"/>
    </row>
    <row r="26" spans="1:88" s="66" customFormat="1" ht="13.5" customHeight="1" x14ac:dyDescent="0.15">
      <c r="A26" s="1099"/>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row>
    <row r="27" spans="1:88" s="66" customFormat="1" ht="13.5" customHeight="1" x14ac:dyDescent="0.15">
      <c r="A27" s="1099"/>
      <c r="B27" s="1099"/>
      <c r="C27" s="1099"/>
      <c r="D27" s="1099"/>
      <c r="E27" s="1099"/>
      <c r="F27" s="1099"/>
      <c r="G27" s="1099"/>
      <c r="H27" s="1099"/>
      <c r="I27" s="1099"/>
      <c r="J27" s="1099"/>
      <c r="K27" s="1099"/>
      <c r="L27" s="1099"/>
      <c r="M27" s="1099"/>
      <c r="N27" s="1099"/>
      <c r="O27" s="1099"/>
      <c r="P27" s="1099"/>
      <c r="Q27" s="1099"/>
      <c r="R27" s="1099"/>
      <c r="S27" s="1099"/>
      <c r="T27" s="1099"/>
      <c r="U27" s="1099"/>
      <c r="V27" s="1099"/>
      <c r="W27" s="1099"/>
      <c r="X27" s="1099"/>
      <c r="Y27" s="1099"/>
      <c r="Z27" s="1099"/>
      <c r="AA27" s="1099"/>
      <c r="AB27" s="1099"/>
      <c r="AC27" s="1099"/>
      <c r="AD27" s="1099"/>
      <c r="AE27" s="1099"/>
      <c r="AF27" s="1099"/>
      <c r="AG27" s="1099"/>
      <c r="AH27" s="1099"/>
      <c r="AI27" s="1099"/>
    </row>
    <row r="28" spans="1:88" s="66" customFormat="1" ht="27" customHeight="1" x14ac:dyDescent="0.15"/>
    <row r="29" spans="1:88" s="66" customFormat="1" ht="13.5" customHeight="1" x14ac:dyDescent="0.15"/>
    <row r="30" spans="1:88" s="66" customFormat="1" ht="13.5" customHeight="1" x14ac:dyDescent="0.15"/>
    <row r="31" spans="1:88" s="66" customFormat="1" ht="13.5" customHeight="1" x14ac:dyDescent="0.15"/>
    <row r="32" spans="1:88" s="66" customFormat="1" ht="13.5" customHeight="1" x14ac:dyDescent="0.15"/>
    <row r="33" s="66" customFormat="1" ht="13.5" customHeight="1" x14ac:dyDescent="0.15"/>
    <row r="34" s="66" customFormat="1" x14ac:dyDescent="0.15"/>
    <row r="35" s="66" customFormat="1" ht="13.5" customHeight="1" x14ac:dyDescent="0.15"/>
    <row r="36" s="66" customFormat="1" ht="13.5" customHeight="1" x14ac:dyDescent="0.15"/>
    <row r="37" s="66" customFormat="1" ht="13.5" customHeight="1" x14ac:dyDescent="0.15"/>
    <row r="38" s="66" customFormat="1" ht="13.5" customHeight="1" x14ac:dyDescent="0.15"/>
    <row r="39" s="66" customFormat="1" ht="13.5" customHeight="1" x14ac:dyDescent="0.15"/>
    <row r="40" s="66" customFormat="1" ht="13.5" customHeight="1" x14ac:dyDescent="0.15"/>
    <row r="41" s="66" customFormat="1" ht="13.5" customHeight="1" x14ac:dyDescent="0.15"/>
    <row r="42" s="66" customFormat="1" ht="13.5" customHeight="1" x14ac:dyDescent="0.15"/>
    <row r="43" s="66" customFormat="1" ht="13.5" customHeight="1" x14ac:dyDescent="0.15"/>
    <row r="44" s="66" customFormat="1" ht="13.5" customHeight="1" x14ac:dyDescent="0.15"/>
    <row r="45" s="66" customFormat="1" ht="13.5" customHeight="1" x14ac:dyDescent="0.15"/>
    <row r="46" s="66" customFormat="1" ht="13.5" customHeight="1" x14ac:dyDescent="0.15"/>
    <row r="47" s="66" customFormat="1" ht="27" customHeight="1" x14ac:dyDescent="0.15"/>
    <row r="48" s="66" customFormat="1" ht="13.5" customHeight="1" x14ac:dyDescent="0.15"/>
    <row r="49" s="66" customFormat="1" ht="27" customHeight="1" x14ac:dyDescent="0.15"/>
    <row r="50" s="66" customFormat="1" ht="13.5" customHeight="1" x14ac:dyDescent="0.15"/>
    <row r="51" s="66" customFormat="1" ht="13.5" customHeight="1" x14ac:dyDescent="0.15"/>
    <row r="52" s="66" customFormat="1" ht="13.5" customHeight="1" x14ac:dyDescent="0.15"/>
    <row r="53" s="66" customFormat="1" ht="13.5" customHeight="1" x14ac:dyDescent="0.15"/>
    <row r="54" s="66" customFormat="1" ht="13.5" customHeight="1" x14ac:dyDescent="0.15"/>
    <row r="55" s="66" customFormat="1" ht="13.5" customHeight="1" x14ac:dyDescent="0.15"/>
    <row r="56" s="66" customFormat="1" ht="13.5" customHeight="1" x14ac:dyDescent="0.15"/>
    <row r="57" s="66" customFormat="1" ht="13.5" customHeight="1" x14ac:dyDescent="0.15"/>
    <row r="58" s="66" customFormat="1" ht="13.5" customHeight="1" x14ac:dyDescent="0.15"/>
    <row r="59" s="66" customFormat="1" ht="27" customHeight="1" x14ac:dyDescent="0.15"/>
    <row r="60" s="66" customFormat="1" ht="27" customHeight="1" x14ac:dyDescent="0.15"/>
    <row r="63" s="66" customFormat="1" x14ac:dyDescent="0.15"/>
    <row r="64" s="66" customFormat="1" x14ac:dyDescent="0.15"/>
    <row r="81" ht="40.5" customHeight="1" x14ac:dyDescent="0.15"/>
    <row r="109" ht="13.5" customHeight="1" x14ac:dyDescent="0.15"/>
    <row r="124" ht="13.5" customHeight="1" x14ac:dyDescent="0.15"/>
    <row r="133" ht="40.5" customHeight="1" x14ac:dyDescent="0.15"/>
    <row r="134" ht="40.5" customHeight="1" x14ac:dyDescent="0.15"/>
  </sheetData>
  <mergeCells count="20">
    <mergeCell ref="AC5:AH5"/>
    <mergeCell ref="L6:R6"/>
    <mergeCell ref="S6:AB6"/>
    <mergeCell ref="AC6:AH6"/>
    <mergeCell ref="S3:AB3"/>
    <mergeCell ref="AC3:AH3"/>
    <mergeCell ref="S4:AB4"/>
    <mergeCell ref="AC4:AH4"/>
    <mergeCell ref="S5:AB5"/>
    <mergeCell ref="B6:E6"/>
    <mergeCell ref="F6:K6"/>
    <mergeCell ref="B3:E3"/>
    <mergeCell ref="F3:K3"/>
    <mergeCell ref="L3:R3"/>
    <mergeCell ref="B4:E4"/>
    <mergeCell ref="F4:K4"/>
    <mergeCell ref="L4:R4"/>
    <mergeCell ref="B5:E5"/>
    <mergeCell ref="F5:K5"/>
    <mergeCell ref="L5:R5"/>
  </mergeCells>
  <phoneticPr fontId="3"/>
  <pageMargins left="0.7" right="0.7" top="0.75" bottom="0.75" header="0.3" footer="0.3"/>
  <pageSetup paperSize="9" scale="97"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CC"/>
    <pageSetUpPr fitToPage="1"/>
  </sheetPr>
  <dimension ref="A1:AY47"/>
  <sheetViews>
    <sheetView showGridLines="0" tabSelected="1" view="pageBreakPreview" zoomScale="90" zoomScaleNormal="80" zoomScaleSheetLayoutView="55" workbookViewId="0">
      <selection activeCell="S8" sqref="S8"/>
    </sheetView>
  </sheetViews>
  <sheetFormatPr defaultRowHeight="13.5" x14ac:dyDescent="0.15"/>
  <cols>
    <col min="1" max="53" width="2.875" customWidth="1"/>
  </cols>
  <sheetData>
    <row r="1" spans="1:47" s="12" customFormat="1" ht="18" customHeight="1" x14ac:dyDescent="0.1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71" t="s">
        <v>211</v>
      </c>
      <c r="AU1" s="62"/>
    </row>
    <row r="2" spans="1:47" s="12" customFormat="1" ht="21.95" customHeight="1" x14ac:dyDescent="0.15">
      <c r="A2" s="745" t="s">
        <v>65</v>
      </c>
      <c r="B2" s="67"/>
      <c r="C2" s="913">
        <v>7</v>
      </c>
      <c r="D2" s="745" t="s">
        <v>1971</v>
      </c>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2"/>
    </row>
    <row r="3" spans="1:47" s="12" customFormat="1" ht="36" customHeight="1" x14ac:dyDescent="0.15">
      <c r="A3" s="1383" t="s">
        <v>212</v>
      </c>
      <c r="B3" s="1777"/>
      <c r="C3" s="1777"/>
      <c r="D3" s="1778"/>
      <c r="E3" s="1778"/>
      <c r="F3" s="1778"/>
      <c r="G3" s="1778"/>
      <c r="H3" s="1778"/>
      <c r="I3" s="1778"/>
      <c r="J3" s="1778"/>
      <c r="K3" s="1778"/>
      <c r="L3" s="1383" t="s">
        <v>213</v>
      </c>
      <c r="M3" s="1777"/>
      <c r="N3" s="1777"/>
      <c r="O3" s="1802" t="str">
        <f>はじめに!D3</f>
        <v>岡山県</v>
      </c>
      <c r="P3" s="1802"/>
      <c r="Q3" s="1802"/>
      <c r="R3" s="1802"/>
      <c r="S3" s="1802"/>
      <c r="T3" s="1802"/>
      <c r="U3" s="1777" t="s">
        <v>214</v>
      </c>
      <c r="V3" s="1777"/>
      <c r="W3" s="1777"/>
      <c r="X3" s="1777"/>
      <c r="Y3" s="1777"/>
      <c r="Z3" s="1803"/>
      <c r="AA3" s="1803"/>
      <c r="AB3" s="1803"/>
      <c r="AC3" s="1803"/>
      <c r="AD3" s="1803"/>
      <c r="AE3" s="1803"/>
      <c r="AF3" s="1803"/>
      <c r="AG3" s="1803"/>
      <c r="AH3" s="1803"/>
      <c r="AI3" s="1803"/>
      <c r="AJ3" s="1777" t="s">
        <v>215</v>
      </c>
      <c r="AK3" s="1777"/>
      <c r="AL3" s="1777"/>
      <c r="AM3" s="1777"/>
      <c r="AN3" s="1778"/>
      <c r="AO3" s="1778"/>
      <c r="AP3" s="1778"/>
      <c r="AQ3" s="1778"/>
      <c r="AR3" s="1778"/>
      <c r="AS3" s="1778"/>
      <c r="AT3" s="1778"/>
    </row>
    <row r="4" spans="1:47" s="12" customFormat="1" ht="18" customHeight="1" x14ac:dyDescent="0.15">
      <c r="A4" s="1779" t="s">
        <v>216</v>
      </c>
      <c r="B4" s="1780"/>
      <c r="C4" s="1785"/>
      <c r="D4" s="1785"/>
      <c r="E4" s="1785"/>
      <c r="F4" s="1272" t="s">
        <v>217</v>
      </c>
      <c r="G4" s="1272"/>
      <c r="H4" s="1273"/>
      <c r="I4" s="1789" t="s">
        <v>218</v>
      </c>
      <c r="J4" s="1790"/>
      <c r="K4" s="1790"/>
      <c r="L4" s="1790"/>
      <c r="M4" s="1790"/>
      <c r="N4" s="1790"/>
      <c r="O4" s="1790"/>
      <c r="P4" s="1790"/>
      <c r="Q4" s="1790"/>
      <c r="R4" s="1790"/>
      <c r="S4" s="1790"/>
      <c r="T4" s="1790"/>
      <c r="U4" s="1790"/>
      <c r="V4" s="1791"/>
      <c r="W4" s="1792" t="s">
        <v>219</v>
      </c>
      <c r="X4" s="1792"/>
      <c r="Y4" s="1792"/>
      <c r="Z4" s="1792"/>
      <c r="AA4" s="1792"/>
      <c r="AB4" s="1792"/>
      <c r="AC4" s="1792"/>
      <c r="AD4" s="1792"/>
      <c r="AE4" s="1792"/>
      <c r="AF4" s="1792"/>
      <c r="AG4" s="1792"/>
      <c r="AH4" s="1792"/>
      <c r="AI4" s="1792"/>
      <c r="AJ4" s="1792"/>
      <c r="AK4" s="1792"/>
      <c r="AL4" s="1792"/>
      <c r="AM4" s="1792"/>
      <c r="AN4" s="1792"/>
      <c r="AO4" s="1792"/>
      <c r="AP4" s="1792"/>
      <c r="AQ4" s="1792"/>
      <c r="AR4" s="1792"/>
      <c r="AS4" s="1792"/>
      <c r="AT4" s="1792"/>
      <c r="AU4"/>
    </row>
    <row r="5" spans="1:47" s="12" customFormat="1" ht="18" customHeight="1" x14ac:dyDescent="0.15">
      <c r="A5" s="1781"/>
      <c r="B5" s="1782"/>
      <c r="C5" s="1786"/>
      <c r="D5" s="1786"/>
      <c r="E5" s="1786"/>
      <c r="F5" s="1787"/>
      <c r="G5" s="1787"/>
      <c r="H5" s="1788"/>
      <c r="I5" s="1793" t="s">
        <v>220</v>
      </c>
      <c r="J5" s="1794"/>
      <c r="K5" s="1794"/>
      <c r="L5" s="1794"/>
      <c r="M5" s="1794"/>
      <c r="N5" s="1794"/>
      <c r="O5" s="1794"/>
      <c r="P5" s="1794"/>
      <c r="Q5" s="1794"/>
      <c r="R5" s="1794"/>
      <c r="S5" s="1794"/>
      <c r="T5" s="1794"/>
      <c r="U5" s="1794"/>
      <c r="V5" s="1798"/>
      <c r="W5" s="1792"/>
      <c r="X5" s="1792"/>
      <c r="Y5" s="1792"/>
      <c r="Z5" s="1792"/>
      <c r="AA5" s="1792"/>
      <c r="AB5" s="1792"/>
      <c r="AC5" s="1792"/>
      <c r="AD5" s="1792"/>
      <c r="AE5" s="1792"/>
      <c r="AF5" s="1792"/>
      <c r="AG5" s="1792"/>
      <c r="AH5" s="1792"/>
      <c r="AI5" s="1792"/>
      <c r="AJ5" s="1792"/>
      <c r="AK5" s="1792"/>
      <c r="AL5" s="1792"/>
      <c r="AM5" s="1792"/>
      <c r="AN5" s="1792"/>
      <c r="AO5" s="1792"/>
      <c r="AP5" s="1792"/>
      <c r="AQ5" s="1792"/>
      <c r="AR5" s="1792"/>
      <c r="AS5" s="1792"/>
      <c r="AT5" s="1792"/>
      <c r="AU5"/>
    </row>
    <row r="6" spans="1:47" s="12" customFormat="1" ht="18" customHeight="1" x14ac:dyDescent="0.15">
      <c r="A6" s="1781"/>
      <c r="B6" s="1782"/>
      <c r="C6" s="1786"/>
      <c r="D6" s="1786"/>
      <c r="E6" s="1786"/>
      <c r="F6" s="66"/>
      <c r="G6" s="66"/>
      <c r="H6" s="72"/>
      <c r="I6" s="1795"/>
      <c r="J6" s="1656"/>
      <c r="K6" s="1656"/>
      <c r="L6" s="1799" t="s">
        <v>221</v>
      </c>
      <c r="M6" s="1272"/>
      <c r="N6" s="1272"/>
      <c r="O6" s="1272"/>
      <c r="P6" s="1272"/>
      <c r="Q6" s="1272"/>
      <c r="R6" s="1272"/>
      <c r="S6" s="1272"/>
      <c r="T6" s="1272"/>
      <c r="U6" s="1272"/>
      <c r="V6" s="1273"/>
      <c r="W6" s="1804" t="s">
        <v>222</v>
      </c>
      <c r="X6" s="1805"/>
      <c r="Y6" s="1805"/>
      <c r="Z6" s="1805"/>
      <c r="AA6" s="1805"/>
      <c r="AB6" s="1805"/>
      <c r="AC6" s="1805"/>
      <c r="AD6" s="1805"/>
      <c r="AE6" s="1805"/>
      <c r="AF6" s="1805"/>
      <c r="AG6" s="1805"/>
      <c r="AH6" s="1805"/>
      <c r="AI6" s="1805"/>
      <c r="AJ6" s="1805"/>
      <c r="AK6" s="1805"/>
      <c r="AL6" s="1805"/>
      <c r="AM6" s="1805"/>
      <c r="AN6" s="1806"/>
      <c r="AO6" s="1810" t="s">
        <v>222</v>
      </c>
      <c r="AP6" s="1810"/>
      <c r="AQ6" s="1810"/>
      <c r="AR6" s="1810"/>
      <c r="AS6" s="1810"/>
      <c r="AT6" s="1810"/>
      <c r="AU6"/>
    </row>
    <row r="7" spans="1:47" s="12" customFormat="1" ht="18" customHeight="1" x14ac:dyDescent="0.15">
      <c r="A7" s="1781"/>
      <c r="B7" s="1782"/>
      <c r="C7" s="66"/>
      <c r="D7" s="66"/>
      <c r="E7" s="66"/>
      <c r="F7" s="1811"/>
      <c r="G7" s="1811"/>
      <c r="H7" s="1812"/>
      <c r="I7" s="1795"/>
      <c r="J7" s="1656"/>
      <c r="K7" s="1656"/>
      <c r="L7" s="1800"/>
      <c r="M7" s="1787"/>
      <c r="N7" s="1787"/>
      <c r="O7" s="1787"/>
      <c r="P7" s="1793" t="s">
        <v>223</v>
      </c>
      <c r="Q7" s="1794"/>
      <c r="R7" s="1794"/>
      <c r="S7" s="1794"/>
      <c r="T7" s="1794"/>
      <c r="U7" s="1794"/>
      <c r="V7" s="1798"/>
      <c r="W7" s="1807"/>
      <c r="X7" s="1808"/>
      <c r="Y7" s="1808"/>
      <c r="Z7" s="1808"/>
      <c r="AA7" s="1808"/>
      <c r="AB7" s="1808"/>
      <c r="AC7" s="1808"/>
      <c r="AD7" s="1808"/>
      <c r="AE7" s="1808"/>
      <c r="AF7" s="1808"/>
      <c r="AG7" s="1808"/>
      <c r="AH7" s="1808"/>
      <c r="AI7" s="1808"/>
      <c r="AJ7" s="1808"/>
      <c r="AK7" s="1808"/>
      <c r="AL7" s="1808"/>
      <c r="AM7" s="1808"/>
      <c r="AN7" s="1809"/>
      <c r="AO7" s="1810"/>
      <c r="AP7" s="1810"/>
      <c r="AQ7" s="1810"/>
      <c r="AR7" s="1810"/>
      <c r="AS7" s="1810"/>
      <c r="AT7" s="1810"/>
      <c r="AU7"/>
    </row>
    <row r="8" spans="1:47" s="12" customFormat="1" ht="18" customHeight="1" x14ac:dyDescent="0.15">
      <c r="A8" s="1781"/>
      <c r="B8" s="1782"/>
      <c r="C8" s="1787" t="s">
        <v>217</v>
      </c>
      <c r="D8" s="1787"/>
      <c r="E8" s="1787"/>
      <c r="F8" s="1811"/>
      <c r="G8" s="1811"/>
      <c r="H8" s="1812"/>
      <c r="I8" s="1795"/>
      <c r="J8" s="1656"/>
      <c r="K8" s="1656"/>
      <c r="L8" s="1800"/>
      <c r="M8" s="1787"/>
      <c r="N8" s="1787"/>
      <c r="O8" s="1787"/>
      <c r="P8" s="1815"/>
      <c r="Q8" s="1656"/>
      <c r="R8" s="1656"/>
      <c r="S8" s="1656"/>
      <c r="T8" s="1656"/>
      <c r="U8" s="1656"/>
      <c r="V8" s="1816"/>
      <c r="W8" s="1792" t="s">
        <v>224</v>
      </c>
      <c r="X8" s="1792"/>
      <c r="Y8" s="1792" t="s">
        <v>225</v>
      </c>
      <c r="Z8" s="1792"/>
      <c r="AA8" s="1792" t="s">
        <v>226</v>
      </c>
      <c r="AB8" s="1792"/>
      <c r="AC8" s="1792" t="s">
        <v>227</v>
      </c>
      <c r="AD8" s="1792"/>
      <c r="AE8" s="1792" t="s">
        <v>228</v>
      </c>
      <c r="AF8" s="1792"/>
      <c r="AG8" s="1792" t="s">
        <v>229</v>
      </c>
      <c r="AH8" s="1792"/>
      <c r="AI8" s="1792" t="s">
        <v>230</v>
      </c>
      <c r="AJ8" s="1792"/>
      <c r="AK8" s="1792" t="s">
        <v>231</v>
      </c>
      <c r="AL8" s="1792"/>
      <c r="AM8" s="1792" t="s">
        <v>232</v>
      </c>
      <c r="AN8" s="1792"/>
      <c r="AO8" s="1792" t="s">
        <v>233</v>
      </c>
      <c r="AP8" s="1792"/>
      <c r="AQ8" s="1792" t="s">
        <v>234</v>
      </c>
      <c r="AR8" s="1792"/>
      <c r="AS8" s="1792" t="s">
        <v>235</v>
      </c>
      <c r="AT8" s="1792"/>
      <c r="AU8"/>
    </row>
    <row r="9" spans="1:47" s="12" customFormat="1" ht="18" customHeight="1" x14ac:dyDescent="0.15">
      <c r="A9" s="1781"/>
      <c r="B9" s="1782"/>
      <c r="C9" s="1274"/>
      <c r="D9" s="1274"/>
      <c r="E9" s="1274"/>
      <c r="F9" s="1813"/>
      <c r="G9" s="1813"/>
      <c r="H9" s="1814"/>
      <c r="I9" s="1796"/>
      <c r="J9" s="1797"/>
      <c r="K9" s="1797"/>
      <c r="L9" s="1801"/>
      <c r="M9" s="1274"/>
      <c r="N9" s="1274"/>
      <c r="O9" s="1274"/>
      <c r="P9" s="1796"/>
      <c r="Q9" s="1797"/>
      <c r="R9" s="1797"/>
      <c r="S9" s="1797"/>
      <c r="T9" s="1797"/>
      <c r="U9" s="1797"/>
      <c r="V9" s="1817"/>
      <c r="W9" s="1792"/>
      <c r="X9" s="1792"/>
      <c r="Y9" s="1792"/>
      <c r="Z9" s="1792"/>
      <c r="AA9" s="1792"/>
      <c r="AB9" s="1792"/>
      <c r="AC9" s="1792"/>
      <c r="AD9" s="1792"/>
      <c r="AE9" s="1792"/>
      <c r="AF9" s="1792"/>
      <c r="AG9" s="1792"/>
      <c r="AH9" s="1792"/>
      <c r="AI9" s="1792"/>
      <c r="AJ9" s="1792"/>
      <c r="AK9" s="1792"/>
      <c r="AL9" s="1792"/>
      <c r="AM9" s="1792"/>
      <c r="AN9" s="1792"/>
      <c r="AO9" s="1792"/>
      <c r="AP9" s="1792"/>
      <c r="AQ9" s="1792"/>
      <c r="AR9" s="1792"/>
      <c r="AS9" s="1792"/>
      <c r="AT9" s="1792"/>
      <c r="AU9"/>
    </row>
    <row r="10" spans="1:47" s="12" customFormat="1" ht="18" customHeight="1" x14ac:dyDescent="0.15">
      <c r="A10" s="1781"/>
      <c r="B10" s="1782"/>
      <c r="C10" s="1803" t="s">
        <v>236</v>
      </c>
      <c r="D10" s="1803"/>
      <c r="E10" s="1803"/>
      <c r="F10" s="1803"/>
      <c r="G10" s="1803"/>
      <c r="H10" s="1803"/>
      <c r="I10" s="1768"/>
      <c r="J10" s="1769"/>
      <c r="K10" s="1770"/>
      <c r="L10" s="1768"/>
      <c r="M10" s="1769"/>
      <c r="N10" s="1769"/>
      <c r="O10" s="1770"/>
      <c r="P10" s="1768"/>
      <c r="Q10" s="1769"/>
      <c r="R10" s="1769"/>
      <c r="S10" s="1769"/>
      <c r="T10" s="1769"/>
      <c r="U10" s="1769"/>
      <c r="V10" s="1770"/>
      <c r="W10" s="914"/>
      <c r="X10" s="915"/>
      <c r="Y10" s="915"/>
      <c r="Z10" s="915"/>
      <c r="AA10" s="915"/>
      <c r="AB10" s="915"/>
      <c r="AC10" s="915"/>
      <c r="AD10" s="915"/>
      <c r="AE10" s="915"/>
      <c r="AF10" s="915"/>
      <c r="AG10" s="915"/>
      <c r="AH10" s="915"/>
      <c r="AI10" s="915"/>
      <c r="AJ10" s="915"/>
      <c r="AK10" s="915"/>
      <c r="AL10" s="915"/>
      <c r="AM10" s="915"/>
      <c r="AN10" s="915"/>
      <c r="AO10" s="915"/>
      <c r="AP10" s="915"/>
      <c r="AQ10" s="915"/>
      <c r="AR10" s="915"/>
      <c r="AS10" s="915"/>
      <c r="AT10" s="916"/>
      <c r="AU10" s="62"/>
    </row>
    <row r="11" spans="1:47" s="12" customFormat="1" ht="18" customHeight="1" x14ac:dyDescent="0.15">
      <c r="A11" s="1781"/>
      <c r="B11" s="1782"/>
      <c r="C11" s="1803"/>
      <c r="D11" s="1803"/>
      <c r="E11" s="1803"/>
      <c r="F11" s="1803"/>
      <c r="G11" s="1803"/>
      <c r="H11" s="1803"/>
      <c r="I11" s="1771"/>
      <c r="J11" s="1772"/>
      <c r="K11" s="1773"/>
      <c r="L11" s="1771"/>
      <c r="M11" s="1772"/>
      <c r="N11" s="1772"/>
      <c r="O11" s="1773"/>
      <c r="P11" s="1771"/>
      <c r="Q11" s="1772"/>
      <c r="R11" s="1772"/>
      <c r="S11" s="1772"/>
      <c r="T11" s="1772"/>
      <c r="U11" s="1772"/>
      <c r="V11" s="1773"/>
      <c r="W11" s="917"/>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9"/>
      <c r="AU11"/>
    </row>
    <row r="12" spans="1:47" s="12" customFormat="1" ht="18" customHeight="1" x14ac:dyDescent="0.15">
      <c r="A12" s="1781"/>
      <c r="B12" s="1782"/>
      <c r="C12" s="1803"/>
      <c r="D12" s="1803"/>
      <c r="E12" s="1803"/>
      <c r="F12" s="1803"/>
      <c r="G12" s="1803"/>
      <c r="H12" s="1803"/>
      <c r="I12" s="1774"/>
      <c r="J12" s="1775"/>
      <c r="K12" s="1776"/>
      <c r="L12" s="1774"/>
      <c r="M12" s="1775"/>
      <c r="N12" s="1775"/>
      <c r="O12" s="1776"/>
      <c r="P12" s="1774"/>
      <c r="Q12" s="1775"/>
      <c r="R12" s="1775"/>
      <c r="S12" s="1775"/>
      <c r="T12" s="1775"/>
      <c r="U12" s="1775"/>
      <c r="V12" s="1776"/>
      <c r="W12" s="917"/>
      <c r="X12" s="918"/>
      <c r="Y12" s="918"/>
      <c r="Z12" s="918"/>
      <c r="AA12" s="918"/>
      <c r="AB12" s="918"/>
      <c r="AC12" s="918"/>
      <c r="AD12" s="918"/>
      <c r="AE12" s="918"/>
      <c r="AF12" s="918"/>
      <c r="AG12" s="918"/>
      <c r="AH12" s="918"/>
      <c r="AI12" s="918"/>
      <c r="AJ12" s="918"/>
      <c r="AK12" s="918"/>
      <c r="AL12" s="918"/>
      <c r="AM12" s="918"/>
      <c r="AN12" s="918"/>
      <c r="AO12" s="918"/>
      <c r="AP12" s="918"/>
      <c r="AQ12" s="918"/>
      <c r="AR12" s="918"/>
      <c r="AS12" s="918"/>
      <c r="AT12" s="919"/>
      <c r="AU12" s="62"/>
    </row>
    <row r="13" spans="1:47" s="12" customFormat="1" ht="18" customHeight="1" x14ac:dyDescent="0.15">
      <c r="A13" s="1781"/>
      <c r="B13" s="1782"/>
      <c r="C13" s="1803" t="s">
        <v>236</v>
      </c>
      <c r="D13" s="1803"/>
      <c r="E13" s="1803"/>
      <c r="F13" s="1803"/>
      <c r="G13" s="1803"/>
      <c r="H13" s="1803"/>
      <c r="I13" s="1768"/>
      <c r="J13" s="1769"/>
      <c r="K13" s="1770"/>
      <c r="L13" s="1768"/>
      <c r="M13" s="1769"/>
      <c r="N13" s="1769"/>
      <c r="O13" s="1770"/>
      <c r="P13" s="1768"/>
      <c r="Q13" s="1769"/>
      <c r="R13" s="1769"/>
      <c r="S13" s="1769"/>
      <c r="T13" s="1769"/>
      <c r="U13" s="1769"/>
      <c r="V13" s="1770"/>
      <c r="W13" s="917"/>
      <c r="X13" s="918"/>
      <c r="Y13" s="918"/>
      <c r="Z13" s="918"/>
      <c r="AA13" s="918"/>
      <c r="AB13" s="918"/>
      <c r="AC13" s="918"/>
      <c r="AD13" s="918"/>
      <c r="AE13" s="918"/>
      <c r="AF13" s="918"/>
      <c r="AG13" s="918"/>
      <c r="AH13" s="918"/>
      <c r="AI13" s="918"/>
      <c r="AJ13" s="918"/>
      <c r="AK13" s="918"/>
      <c r="AL13" s="918"/>
      <c r="AM13" s="918"/>
      <c r="AN13" s="918"/>
      <c r="AO13" s="918"/>
      <c r="AP13" s="918"/>
      <c r="AQ13" s="918"/>
      <c r="AR13" s="918"/>
      <c r="AS13" s="918"/>
      <c r="AT13" s="919"/>
      <c r="AU13"/>
    </row>
    <row r="14" spans="1:47" s="12" customFormat="1" ht="18" customHeight="1" x14ac:dyDescent="0.15">
      <c r="A14" s="1781"/>
      <c r="B14" s="1782"/>
      <c r="C14" s="1803"/>
      <c r="D14" s="1803"/>
      <c r="E14" s="1803"/>
      <c r="F14" s="1803"/>
      <c r="G14" s="1803"/>
      <c r="H14" s="1803"/>
      <c r="I14" s="1771"/>
      <c r="J14" s="1772"/>
      <c r="K14" s="1773"/>
      <c r="L14" s="1771"/>
      <c r="M14" s="1772"/>
      <c r="N14" s="1772"/>
      <c r="O14" s="1773"/>
      <c r="P14" s="1771"/>
      <c r="Q14" s="1772"/>
      <c r="R14" s="1772"/>
      <c r="S14" s="1772"/>
      <c r="T14" s="1772"/>
      <c r="U14" s="1772"/>
      <c r="V14" s="1773"/>
      <c r="W14" s="917"/>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9"/>
      <c r="AU14" s="62"/>
    </row>
    <row r="15" spans="1:47" s="12" customFormat="1" ht="18" customHeight="1" x14ac:dyDescent="0.15">
      <c r="A15" s="1781"/>
      <c r="B15" s="1782"/>
      <c r="C15" s="1803"/>
      <c r="D15" s="1803"/>
      <c r="E15" s="1803"/>
      <c r="F15" s="1803"/>
      <c r="G15" s="1803"/>
      <c r="H15" s="1803"/>
      <c r="I15" s="1774"/>
      <c r="J15" s="1775"/>
      <c r="K15" s="1776"/>
      <c r="L15" s="1774"/>
      <c r="M15" s="1775"/>
      <c r="N15" s="1775"/>
      <c r="O15" s="1776"/>
      <c r="P15" s="1774"/>
      <c r="Q15" s="1775"/>
      <c r="R15" s="1775"/>
      <c r="S15" s="1775"/>
      <c r="T15" s="1775"/>
      <c r="U15" s="1775"/>
      <c r="V15" s="1776"/>
      <c r="W15" s="917"/>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9"/>
      <c r="AU15"/>
    </row>
    <row r="16" spans="1:47" s="12" customFormat="1" ht="18" customHeight="1" x14ac:dyDescent="0.15">
      <c r="A16" s="1781"/>
      <c r="B16" s="1782"/>
      <c r="C16" s="1803" t="s">
        <v>236</v>
      </c>
      <c r="D16" s="1803"/>
      <c r="E16" s="1803"/>
      <c r="F16" s="1803"/>
      <c r="G16" s="1803"/>
      <c r="H16" s="1803"/>
      <c r="I16" s="1768"/>
      <c r="J16" s="1769"/>
      <c r="K16" s="1770"/>
      <c r="L16" s="1768"/>
      <c r="M16" s="1769"/>
      <c r="N16" s="1769"/>
      <c r="O16" s="1770"/>
      <c r="P16" s="1768"/>
      <c r="Q16" s="1769"/>
      <c r="R16" s="1769"/>
      <c r="S16" s="1769"/>
      <c r="T16" s="1769"/>
      <c r="U16" s="1769"/>
      <c r="V16" s="1770"/>
      <c r="W16" s="917"/>
      <c r="X16" s="918"/>
      <c r="Y16" s="918"/>
      <c r="Z16" s="918"/>
      <c r="AA16" s="918"/>
      <c r="AB16" s="918"/>
      <c r="AC16" s="918"/>
      <c r="AD16" s="918"/>
      <c r="AE16" s="918"/>
      <c r="AF16" s="918"/>
      <c r="AG16" s="918"/>
      <c r="AH16" s="918"/>
      <c r="AI16" s="918"/>
      <c r="AJ16" s="918"/>
      <c r="AK16" s="918"/>
      <c r="AL16" s="918"/>
      <c r="AM16" s="918"/>
      <c r="AN16" s="918"/>
      <c r="AO16" s="918"/>
      <c r="AP16" s="918"/>
      <c r="AQ16" s="918"/>
      <c r="AR16" s="918"/>
      <c r="AS16" s="918"/>
      <c r="AT16" s="919"/>
      <c r="AU16" s="62"/>
    </row>
    <row r="17" spans="1:51" s="12" customFormat="1" ht="18" customHeight="1" x14ac:dyDescent="0.15">
      <c r="A17" s="1781"/>
      <c r="B17" s="1782"/>
      <c r="C17" s="1803"/>
      <c r="D17" s="1803"/>
      <c r="E17" s="1803"/>
      <c r="F17" s="1803"/>
      <c r="G17" s="1803"/>
      <c r="H17" s="1803"/>
      <c r="I17" s="1771"/>
      <c r="J17" s="1772"/>
      <c r="K17" s="1773"/>
      <c r="L17" s="1771"/>
      <c r="M17" s="1772"/>
      <c r="N17" s="1772"/>
      <c r="O17" s="1773"/>
      <c r="P17" s="1771"/>
      <c r="Q17" s="1772"/>
      <c r="R17" s="1772"/>
      <c r="S17" s="1772"/>
      <c r="T17" s="1772"/>
      <c r="U17" s="1772"/>
      <c r="V17" s="1773"/>
      <c r="W17" s="917"/>
      <c r="X17" s="918"/>
      <c r="Y17" s="918"/>
      <c r="Z17" s="918"/>
      <c r="AA17" s="918"/>
      <c r="AB17" s="918"/>
      <c r="AC17" s="918"/>
      <c r="AD17" s="918"/>
      <c r="AE17" s="918"/>
      <c r="AF17" s="918"/>
      <c r="AG17" s="918"/>
      <c r="AH17" s="918"/>
      <c r="AI17" s="918"/>
      <c r="AJ17" s="918"/>
      <c r="AK17" s="918"/>
      <c r="AL17" s="918"/>
      <c r="AM17" s="918"/>
      <c r="AN17" s="918"/>
      <c r="AO17" s="918"/>
      <c r="AP17" s="918"/>
      <c r="AQ17" s="918"/>
      <c r="AR17" s="918"/>
      <c r="AS17" s="918"/>
      <c r="AT17" s="919"/>
      <c r="AU17"/>
    </row>
    <row r="18" spans="1:51" s="12" customFormat="1" ht="18" customHeight="1" x14ac:dyDescent="0.15">
      <c r="A18" s="1781"/>
      <c r="B18" s="1782"/>
      <c r="C18" s="1803"/>
      <c r="D18" s="1803"/>
      <c r="E18" s="1803"/>
      <c r="F18" s="1803"/>
      <c r="G18" s="1803"/>
      <c r="H18" s="1803"/>
      <c r="I18" s="1774"/>
      <c r="J18" s="1775"/>
      <c r="K18" s="1776"/>
      <c r="L18" s="1774"/>
      <c r="M18" s="1775"/>
      <c r="N18" s="1775"/>
      <c r="O18" s="1776"/>
      <c r="P18" s="1774"/>
      <c r="Q18" s="1775"/>
      <c r="R18" s="1775"/>
      <c r="S18" s="1775"/>
      <c r="T18" s="1775"/>
      <c r="U18" s="1775"/>
      <c r="V18" s="1776"/>
      <c r="W18" s="917"/>
      <c r="X18" s="918"/>
      <c r="Y18" s="918"/>
      <c r="Z18" s="918"/>
      <c r="AA18" s="918"/>
      <c r="AB18" s="918"/>
      <c r="AC18" s="918"/>
      <c r="AD18" s="918"/>
      <c r="AE18" s="918"/>
      <c r="AF18" s="918"/>
      <c r="AG18" s="918"/>
      <c r="AH18" s="918"/>
      <c r="AI18" s="918"/>
      <c r="AJ18" s="918"/>
      <c r="AK18" s="918"/>
      <c r="AL18" s="918"/>
      <c r="AM18" s="918"/>
      <c r="AN18" s="918"/>
      <c r="AO18" s="918"/>
      <c r="AP18" s="918"/>
      <c r="AQ18" s="918"/>
      <c r="AR18" s="918"/>
      <c r="AS18" s="918"/>
      <c r="AT18" s="919"/>
      <c r="AU18" s="62"/>
    </row>
    <row r="19" spans="1:51" s="12" customFormat="1" ht="18" customHeight="1" x14ac:dyDescent="0.15">
      <c r="A19" s="1781"/>
      <c r="B19" s="1782"/>
      <c r="C19" s="1803"/>
      <c r="D19" s="1803"/>
      <c r="E19" s="1803"/>
      <c r="F19" s="1803"/>
      <c r="G19" s="1803"/>
      <c r="H19" s="1803"/>
      <c r="I19" s="1768"/>
      <c r="J19" s="1769"/>
      <c r="K19" s="1770"/>
      <c r="L19" s="1768"/>
      <c r="M19" s="1769"/>
      <c r="N19" s="1769"/>
      <c r="O19" s="1770"/>
      <c r="P19" s="1768"/>
      <c r="Q19" s="1769"/>
      <c r="R19" s="1769"/>
      <c r="S19" s="1769"/>
      <c r="T19" s="1769"/>
      <c r="U19" s="1769"/>
      <c r="V19" s="1770"/>
      <c r="W19" s="917"/>
      <c r="X19" s="918"/>
      <c r="Y19" s="918"/>
      <c r="Z19" s="918"/>
      <c r="AA19" s="918"/>
      <c r="AB19" s="918"/>
      <c r="AC19" s="918"/>
      <c r="AD19" s="918"/>
      <c r="AE19" s="918"/>
      <c r="AF19" s="918"/>
      <c r="AG19" s="918"/>
      <c r="AH19" s="918"/>
      <c r="AI19" s="918"/>
      <c r="AJ19" s="918"/>
      <c r="AK19" s="918"/>
      <c r="AL19" s="918"/>
      <c r="AM19" s="918"/>
      <c r="AN19" s="918"/>
      <c r="AO19" s="918"/>
      <c r="AP19" s="918"/>
      <c r="AQ19" s="918"/>
      <c r="AR19" s="918"/>
      <c r="AS19" s="918"/>
      <c r="AT19" s="919"/>
      <c r="AU19"/>
    </row>
    <row r="20" spans="1:51" s="12" customFormat="1" ht="18" customHeight="1" x14ac:dyDescent="0.15">
      <c r="A20" s="1781"/>
      <c r="B20" s="1782"/>
      <c r="C20" s="1803"/>
      <c r="D20" s="1803"/>
      <c r="E20" s="1803"/>
      <c r="F20" s="1803"/>
      <c r="G20" s="1803"/>
      <c r="H20" s="1803"/>
      <c r="I20" s="1771"/>
      <c r="J20" s="1772"/>
      <c r="K20" s="1773"/>
      <c r="L20" s="1771"/>
      <c r="M20" s="1772"/>
      <c r="N20" s="1772"/>
      <c r="O20" s="1773"/>
      <c r="P20" s="1771"/>
      <c r="Q20" s="1772"/>
      <c r="R20" s="1772"/>
      <c r="S20" s="1772"/>
      <c r="T20" s="1772"/>
      <c r="U20" s="1772"/>
      <c r="V20" s="1773"/>
      <c r="W20" s="917"/>
      <c r="X20" s="918"/>
      <c r="Y20" s="918"/>
      <c r="Z20" s="918"/>
      <c r="AA20" s="918"/>
      <c r="AB20" s="918"/>
      <c r="AC20" s="918"/>
      <c r="AD20" s="918"/>
      <c r="AE20" s="918"/>
      <c r="AF20" s="918"/>
      <c r="AG20" s="918"/>
      <c r="AH20" s="918"/>
      <c r="AI20" s="918"/>
      <c r="AJ20" s="918"/>
      <c r="AK20" s="918"/>
      <c r="AL20" s="918"/>
      <c r="AM20" s="918"/>
      <c r="AN20" s="918"/>
      <c r="AO20" s="918"/>
      <c r="AP20" s="918"/>
      <c r="AQ20" s="918"/>
      <c r="AR20" s="918"/>
      <c r="AS20" s="918"/>
      <c r="AT20" s="919"/>
      <c r="AU20" s="62"/>
    </row>
    <row r="21" spans="1:51" s="12" customFormat="1" ht="18" customHeight="1" x14ac:dyDescent="0.15">
      <c r="A21" s="1781"/>
      <c r="B21" s="1782"/>
      <c r="C21" s="1803"/>
      <c r="D21" s="1803"/>
      <c r="E21" s="1803"/>
      <c r="F21" s="1803"/>
      <c r="G21" s="1803"/>
      <c r="H21" s="1803"/>
      <c r="I21" s="1774"/>
      <c r="J21" s="1775"/>
      <c r="K21" s="1776"/>
      <c r="L21" s="1774"/>
      <c r="M21" s="1775"/>
      <c r="N21" s="1775"/>
      <c r="O21" s="1776"/>
      <c r="P21" s="1774"/>
      <c r="Q21" s="1775"/>
      <c r="R21" s="1775"/>
      <c r="S21" s="1775"/>
      <c r="T21" s="1775"/>
      <c r="U21" s="1775"/>
      <c r="V21" s="1776"/>
      <c r="W21" s="920"/>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2"/>
      <c r="AU21"/>
    </row>
    <row r="22" spans="1:51" s="12" customFormat="1" ht="36" customHeight="1" x14ac:dyDescent="0.15">
      <c r="A22" s="1783"/>
      <c r="B22" s="1784"/>
      <c r="C22" s="1778" t="s">
        <v>10</v>
      </c>
      <c r="D22" s="1778"/>
      <c r="E22" s="1778"/>
      <c r="F22" s="1778"/>
      <c r="G22" s="1778"/>
      <c r="H22" s="1778"/>
      <c r="I22" s="1778"/>
      <c r="J22" s="1778"/>
      <c r="K22" s="1778"/>
      <c r="L22" s="1778"/>
      <c r="M22" s="1778"/>
      <c r="N22" s="1778"/>
      <c r="O22" s="1778"/>
      <c r="P22" s="1778"/>
      <c r="Q22" s="1778"/>
      <c r="R22" s="1778"/>
      <c r="S22" s="1778"/>
      <c r="T22" s="1778"/>
      <c r="U22" s="1778"/>
      <c r="V22" s="1778"/>
      <c r="W22" s="1765"/>
      <c r="X22" s="1766"/>
      <c r="Y22" s="1766"/>
      <c r="Z22" s="1766"/>
      <c r="AA22" s="1766"/>
      <c r="AB22" s="1766"/>
      <c r="AC22" s="1766"/>
      <c r="AD22" s="1766"/>
      <c r="AE22" s="1766"/>
      <c r="AF22" s="1766"/>
      <c r="AG22" s="1766"/>
      <c r="AH22" s="1766"/>
      <c r="AI22" s="1766"/>
      <c r="AJ22" s="1766"/>
      <c r="AK22" s="1766"/>
      <c r="AL22" s="1766"/>
      <c r="AM22" s="1766"/>
      <c r="AN22" s="1766"/>
      <c r="AO22" s="1766"/>
      <c r="AP22" s="1766"/>
      <c r="AQ22" s="1766"/>
      <c r="AR22" s="1766"/>
      <c r="AS22" s="1766"/>
      <c r="AT22" s="1767"/>
      <c r="AU22" s="62"/>
    </row>
    <row r="23" spans="1:51" s="12" customFormat="1" ht="18" customHeight="1" x14ac:dyDescent="0.15">
      <c r="A23" s="63" t="s">
        <v>237</v>
      </c>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row>
    <row r="24" spans="1:51" s="12" customFormat="1" ht="18" customHeight="1" x14ac:dyDescent="0.15">
      <c r="A24" s="63" t="s">
        <v>238</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2"/>
    </row>
    <row r="25" spans="1:51" s="12" customFormat="1" ht="18" customHeight="1" x14ac:dyDescent="0.15">
      <c r="A25" s="63" t="s">
        <v>239</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51" s="12" customFormat="1" ht="18" customHeight="1" x14ac:dyDescent="0.15">
      <c r="A26" s="63"/>
      <c r="B26" s="63"/>
      <c r="C26" s="63" t="s">
        <v>240</v>
      </c>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2"/>
    </row>
    <row r="27" spans="1:51" s="12" customFormat="1" ht="18" customHeight="1" x14ac:dyDescent="0.15">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row>
    <row r="28" spans="1:51" s="12" customFormat="1" ht="18" customHeight="1" x14ac:dyDescent="0.15">
      <c r="AU28" s="62"/>
    </row>
    <row r="29" spans="1:51" s="12"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65"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64"/>
      <c r="AW30" s="64"/>
      <c r="AX30" s="64"/>
      <c r="AY30" s="64"/>
    </row>
    <row r="31" spans="1:51" s="65"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64"/>
      <c r="AW31" s="64"/>
      <c r="AX31" s="64"/>
      <c r="AY31" s="64"/>
    </row>
    <row r="32" spans="1:51" s="65"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65"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64"/>
      <c r="AW33" s="64"/>
      <c r="AX33" s="64"/>
      <c r="AY33" s="64"/>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55">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W22:AT22"/>
    <mergeCell ref="L16:O18"/>
    <mergeCell ref="L19:O21"/>
    <mergeCell ref="P10:V12"/>
    <mergeCell ref="P13:V15"/>
    <mergeCell ref="P16:V18"/>
    <mergeCell ref="P19:V21"/>
  </mergeCells>
  <phoneticPr fontId="3"/>
  <dataValidations count="1">
    <dataValidation type="list" allowBlank="1" showInputMessage="1" showErrorMessage="1" prompt="年度を選択" sqref="C2">
      <formula1>"7,8,9,10,11"</formula1>
    </dataValidation>
  </dataValidations>
  <pageMargins left="0.70866141732283472" right="0.70866141732283472" top="0.74803149606299213" bottom="0.74803149606299213" header="0.31496062992125984" footer="0.31496062992125984"/>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A32"/>
  <sheetViews>
    <sheetView tabSelected="1" view="pageBreakPreview" zoomScale="80" zoomScaleSheetLayoutView="80" workbookViewId="0">
      <selection activeCell="S8" sqref="S8"/>
    </sheetView>
  </sheetViews>
  <sheetFormatPr defaultColWidth="8" defaultRowHeight="14.25" x14ac:dyDescent="0.15"/>
  <cols>
    <col min="1" max="1" width="2.625" style="1019" customWidth="1"/>
    <col min="2" max="2" width="2.625" style="1020" customWidth="1"/>
    <col min="3" max="3" width="3.25" style="1020" customWidth="1"/>
    <col min="4" max="4" width="9.5" style="1020" customWidth="1"/>
    <col min="5" max="5" width="18.375" style="1020" customWidth="1"/>
    <col min="6" max="6" width="21.875" style="1020" customWidth="1"/>
    <col min="7" max="7" width="1.25" style="1019" customWidth="1"/>
    <col min="8" max="8" width="16.25" style="1020" customWidth="1"/>
    <col min="9" max="9" width="7.5" style="1020" customWidth="1"/>
    <col min="10" max="10" width="5" style="1019" customWidth="1"/>
    <col min="11" max="11" width="1.25" style="1019" customWidth="1"/>
    <col min="12" max="12" width="9.5" style="1020" customWidth="1"/>
    <col min="13" max="14" width="3.25" style="1019" customWidth="1"/>
    <col min="15" max="15" width="9.5" style="1020" customWidth="1"/>
    <col min="16" max="17" width="18.375" style="1019" customWidth="1"/>
    <col min="18" max="18" width="1.25" style="1019" customWidth="1"/>
    <col min="19" max="19" width="16.25" style="1019" customWidth="1"/>
    <col min="20" max="20" width="7.5" style="1019" customWidth="1"/>
    <col min="21" max="21" width="5" style="1020" customWidth="1"/>
    <col min="22" max="22" width="1.25" style="1019" customWidth="1"/>
    <col min="23" max="23" width="9.5" style="1019" customWidth="1"/>
    <col min="24" max="24" width="2.625" style="1019" customWidth="1"/>
    <col min="25" max="26" width="2.875" style="1019" customWidth="1"/>
    <col min="27" max="27" width="17.875" style="1019" customWidth="1"/>
    <col min="28" max="29" width="2.875" style="1019" customWidth="1"/>
    <col min="30" max="30" width="8" style="1019"/>
    <col min="31" max="31" width="18.875" style="1019" customWidth="1"/>
    <col min="32" max="16384" width="8" style="1019"/>
  </cols>
  <sheetData>
    <row r="1" spans="1:27" ht="10.5" customHeight="1" x14ac:dyDescent="0.15"/>
    <row r="2" spans="1:27" ht="20.25" customHeight="1" x14ac:dyDescent="0.15">
      <c r="K2" s="1021"/>
      <c r="U2" s="1020" t="s">
        <v>2372</v>
      </c>
      <c r="W2" s="1022"/>
      <c r="X2" s="1022"/>
      <c r="AA2" s="1021" t="s">
        <v>30</v>
      </c>
    </row>
    <row r="3" spans="1:27" ht="30" customHeight="1" x14ac:dyDescent="0.15">
      <c r="A3" s="1023"/>
      <c r="B3" s="1019"/>
      <c r="C3" s="1019"/>
      <c r="D3" s="1019"/>
      <c r="E3" s="1019"/>
      <c r="F3" s="1019"/>
      <c r="H3" s="1019"/>
      <c r="I3" s="1019"/>
      <c r="K3" s="1021"/>
      <c r="L3" s="1019"/>
      <c r="O3" s="1019"/>
      <c r="Q3" s="1024"/>
      <c r="S3" s="1062" t="s">
        <v>2411</v>
      </c>
      <c r="T3" s="1818" t="s">
        <v>2413</v>
      </c>
      <c r="U3" s="1818"/>
      <c r="V3" s="1818"/>
      <c r="W3" s="1818"/>
      <c r="X3" s="1025"/>
      <c r="AA3" s="1021" t="s">
        <v>1984</v>
      </c>
    </row>
    <row r="4" spans="1:27" ht="30" customHeight="1" x14ac:dyDescent="0.15">
      <c r="A4" s="1023"/>
      <c r="B4" s="1019"/>
      <c r="C4" s="1019"/>
      <c r="D4" s="1019"/>
      <c r="E4" s="1019"/>
      <c r="F4" s="1819" t="s">
        <v>2420</v>
      </c>
      <c r="G4" s="1819"/>
      <c r="H4" s="1819"/>
      <c r="I4" s="1819"/>
      <c r="J4" s="1819"/>
      <c r="K4" s="1819"/>
      <c r="L4" s="1819"/>
      <c r="M4" s="1819"/>
      <c r="N4" s="1819"/>
      <c r="O4" s="1819"/>
      <c r="P4" s="1819"/>
      <c r="Q4" s="1819"/>
      <c r="S4" s="1062" t="s">
        <v>2412</v>
      </c>
      <c r="T4" s="1818" t="s">
        <v>2413</v>
      </c>
      <c r="U4" s="1818"/>
      <c r="V4" s="1818"/>
      <c r="W4" s="1818"/>
      <c r="X4" s="1025"/>
      <c r="AA4" s="1021"/>
    </row>
    <row r="5" spans="1:27" ht="20.25" customHeight="1" x14ac:dyDescent="0.15">
      <c r="A5" s="1023"/>
      <c r="B5" s="1019"/>
      <c r="D5" s="1019"/>
      <c r="E5" s="1019"/>
      <c r="F5" s="1819"/>
      <c r="G5" s="1819"/>
      <c r="H5" s="1819"/>
      <c r="I5" s="1819"/>
      <c r="J5" s="1819"/>
      <c r="K5" s="1819"/>
      <c r="L5" s="1819"/>
      <c r="M5" s="1819"/>
      <c r="N5" s="1819"/>
      <c r="O5" s="1819"/>
      <c r="P5" s="1819"/>
      <c r="Q5" s="1819"/>
      <c r="S5" s="1019" t="s">
        <v>2373</v>
      </c>
      <c r="U5" s="1019"/>
      <c r="AA5" s="1021"/>
    </row>
    <row r="6" spans="1:27" ht="30" customHeight="1" x14ac:dyDescent="0.15">
      <c r="A6" s="1023"/>
      <c r="B6" s="1019"/>
      <c r="C6" s="1019"/>
      <c r="D6" s="1019"/>
      <c r="E6" s="1019"/>
      <c r="F6" s="1819"/>
      <c r="G6" s="1819"/>
      <c r="H6" s="1819"/>
      <c r="I6" s="1819"/>
      <c r="J6" s="1819"/>
      <c r="K6" s="1819"/>
      <c r="L6" s="1819"/>
      <c r="M6" s="1819"/>
      <c r="N6" s="1819"/>
      <c r="O6" s="1819"/>
      <c r="P6" s="1819"/>
      <c r="Q6" s="1819"/>
      <c r="S6" s="1820"/>
      <c r="T6" s="1820"/>
      <c r="U6" s="1820"/>
      <c r="V6" s="1820"/>
      <c r="W6" s="1820"/>
      <c r="X6" s="1026"/>
      <c r="AA6" s="1021"/>
    </row>
    <row r="7" spans="1:27" ht="9" customHeight="1" x14ac:dyDescent="0.15">
      <c r="B7" s="1020" t="s">
        <v>67</v>
      </c>
    </row>
    <row r="8" spans="1:27" ht="9" customHeight="1" thickBot="1" x14ac:dyDescent="0.2">
      <c r="J8" s="1020"/>
      <c r="M8" s="1020"/>
      <c r="N8" s="1020"/>
      <c r="P8" s="1020"/>
      <c r="Q8" s="1020"/>
      <c r="S8" s="1020"/>
      <c r="T8" s="1020"/>
    </row>
    <row r="9" spans="1:27" s="1027" customFormat="1" ht="27.95" customHeight="1" x14ac:dyDescent="0.15">
      <c r="B9" s="1028"/>
      <c r="C9" s="1029"/>
      <c r="D9" s="1050" t="s">
        <v>2421</v>
      </c>
      <c r="E9" s="1821" t="s">
        <v>2374</v>
      </c>
      <c r="F9" s="1821"/>
      <c r="G9" s="1821"/>
      <c r="H9" s="1821"/>
      <c r="I9" s="1821"/>
      <c r="J9" s="1821"/>
      <c r="K9" s="1030"/>
      <c r="L9" s="1052" t="s">
        <v>2375</v>
      </c>
      <c r="M9" s="1031"/>
      <c r="N9" s="1029"/>
      <c r="O9" s="1050" t="s">
        <v>2421</v>
      </c>
      <c r="P9" s="1821" t="s">
        <v>2376</v>
      </c>
      <c r="Q9" s="1821"/>
      <c r="R9" s="1821"/>
      <c r="S9" s="1821"/>
      <c r="T9" s="1821"/>
      <c r="U9" s="1821"/>
      <c r="V9" s="1032"/>
      <c r="W9" s="1052" t="s">
        <v>2375</v>
      </c>
      <c r="AA9" s="1019"/>
    </row>
    <row r="10" spans="1:27" s="1027" customFormat="1" ht="22.5" customHeight="1" thickBot="1" x14ac:dyDescent="0.2">
      <c r="B10" s="1028"/>
      <c r="C10" s="1822" t="s">
        <v>1045</v>
      </c>
      <c r="D10" s="1824" t="s">
        <v>1984</v>
      </c>
      <c r="E10" s="1826" t="s">
        <v>2414</v>
      </c>
      <c r="F10" s="1826"/>
      <c r="G10" s="1826"/>
      <c r="H10" s="1826"/>
      <c r="I10" s="1826"/>
      <c r="J10" s="1826"/>
      <c r="L10" s="1827" t="s">
        <v>30</v>
      </c>
      <c r="M10" s="1031"/>
      <c r="N10" s="1033" t="s">
        <v>1044</v>
      </c>
      <c r="O10" s="1051" t="s">
        <v>1984</v>
      </c>
      <c r="P10" s="1829" t="s">
        <v>2377</v>
      </c>
      <c r="Q10" s="1829"/>
      <c r="R10" s="1829"/>
      <c r="S10" s="1829"/>
      <c r="T10" s="1829"/>
      <c r="U10" s="1829"/>
      <c r="V10" s="1034"/>
      <c r="W10" s="1053" t="s">
        <v>30</v>
      </c>
    </row>
    <row r="11" spans="1:27" s="1027" customFormat="1" ht="22.5" customHeight="1" thickBot="1" x14ac:dyDescent="0.2">
      <c r="B11" s="1028"/>
      <c r="C11" s="1823"/>
      <c r="D11" s="1825"/>
      <c r="E11" s="1830" t="s">
        <v>2378</v>
      </c>
      <c r="F11" s="1830"/>
      <c r="G11" s="1057"/>
      <c r="H11" s="1061" t="s">
        <v>2379</v>
      </c>
      <c r="I11" s="1058" t="s">
        <v>30</v>
      </c>
      <c r="J11" s="1059" t="s">
        <v>2380</v>
      </c>
      <c r="K11" s="1034"/>
      <c r="L11" s="1828"/>
      <c r="M11" s="1031"/>
      <c r="N11" s="1037"/>
      <c r="O11" s="1038"/>
      <c r="P11" s="1039"/>
      <c r="Q11" s="1039"/>
      <c r="S11" s="1039"/>
      <c r="T11" s="1039"/>
      <c r="U11" s="1038"/>
      <c r="W11" s="1056"/>
    </row>
    <row r="12" spans="1:27" s="1027" customFormat="1" ht="27.75" customHeight="1" thickBot="1" x14ac:dyDescent="0.2">
      <c r="B12" s="1028"/>
      <c r="C12" s="1822" t="s">
        <v>2381</v>
      </c>
      <c r="D12" s="1824" t="s">
        <v>30</v>
      </c>
      <c r="E12" s="1840" t="s">
        <v>2415</v>
      </c>
      <c r="F12" s="1840"/>
      <c r="G12" s="1840"/>
      <c r="H12" s="1841"/>
      <c r="I12" s="1841"/>
      <c r="J12" s="1841"/>
      <c r="L12" s="1827" t="s">
        <v>30</v>
      </c>
      <c r="M12" s="1031"/>
      <c r="N12" s="1029"/>
      <c r="O12" s="1050" t="s">
        <v>2421</v>
      </c>
      <c r="P12" s="1821" t="s">
        <v>2382</v>
      </c>
      <c r="Q12" s="1821"/>
      <c r="R12" s="1821"/>
      <c r="S12" s="1821"/>
      <c r="T12" s="1821"/>
      <c r="U12" s="1821"/>
      <c r="V12" s="1040"/>
      <c r="W12" s="1052" t="s">
        <v>2375</v>
      </c>
    </row>
    <row r="13" spans="1:27" s="1027" customFormat="1" ht="22.5" customHeight="1" thickBot="1" x14ac:dyDescent="0.2">
      <c r="B13" s="1028"/>
      <c r="C13" s="1823"/>
      <c r="D13" s="1839"/>
      <c r="E13" s="1843" t="s">
        <v>2383</v>
      </c>
      <c r="F13" s="1843"/>
      <c r="G13" s="1060"/>
      <c r="H13" s="1061" t="s">
        <v>2379</v>
      </c>
      <c r="I13" s="1058" t="s">
        <v>1984</v>
      </c>
      <c r="J13" s="1059" t="s">
        <v>2380</v>
      </c>
      <c r="K13" s="1034"/>
      <c r="L13" s="1842"/>
      <c r="M13" s="1031"/>
      <c r="N13" s="1822" t="s">
        <v>2384</v>
      </c>
      <c r="O13" s="1824" t="s">
        <v>1984</v>
      </c>
      <c r="P13" s="1844" t="s">
        <v>2416</v>
      </c>
      <c r="Q13" s="1844"/>
      <c r="R13" s="1844"/>
      <c r="S13" s="1844"/>
      <c r="T13" s="1844"/>
      <c r="U13" s="1844"/>
      <c r="V13" s="1040"/>
      <c r="W13" s="1827" t="s">
        <v>30</v>
      </c>
    </row>
    <row r="14" spans="1:27" s="1027" customFormat="1" ht="22.5" customHeight="1" thickBot="1" x14ac:dyDescent="0.2">
      <c r="B14" s="1028"/>
      <c r="C14" s="1037"/>
      <c r="D14" s="1038"/>
      <c r="E14" s="1845"/>
      <c r="F14" s="1845"/>
      <c r="G14" s="1845"/>
      <c r="H14" s="1845"/>
      <c r="I14" s="1845"/>
      <c r="J14" s="1845"/>
      <c r="L14" s="1038"/>
      <c r="M14" s="1031"/>
      <c r="N14" s="1823"/>
      <c r="O14" s="1825"/>
      <c r="P14" s="1830" t="s">
        <v>2385</v>
      </c>
      <c r="Q14" s="1830"/>
      <c r="S14" s="1061" t="s">
        <v>2379</v>
      </c>
      <c r="T14" s="1035" t="s">
        <v>30</v>
      </c>
      <c r="U14" s="1036" t="s">
        <v>2380</v>
      </c>
      <c r="W14" s="1828"/>
    </row>
    <row r="15" spans="1:27" s="1027" customFormat="1" ht="27.95" customHeight="1" thickBot="1" x14ac:dyDescent="0.2">
      <c r="B15" s="1028"/>
      <c r="C15" s="1029"/>
      <c r="D15" s="1050" t="s">
        <v>2421</v>
      </c>
      <c r="E15" s="1821" t="s">
        <v>2386</v>
      </c>
      <c r="F15" s="1821"/>
      <c r="G15" s="1821"/>
      <c r="H15" s="1821"/>
      <c r="I15" s="1821"/>
      <c r="J15" s="1821"/>
      <c r="K15" s="1040"/>
      <c r="L15" s="1052" t="s">
        <v>2375</v>
      </c>
      <c r="M15" s="1031"/>
      <c r="N15" s="1822" t="s">
        <v>2387</v>
      </c>
      <c r="O15" s="1824" t="s">
        <v>30</v>
      </c>
      <c r="P15" s="1826" t="s">
        <v>2416</v>
      </c>
      <c r="Q15" s="1826"/>
      <c r="R15" s="1826"/>
      <c r="S15" s="1848"/>
      <c r="T15" s="1848"/>
      <c r="U15" s="1848"/>
      <c r="V15" s="1040"/>
      <c r="W15" s="1827" t="s">
        <v>30</v>
      </c>
    </row>
    <row r="16" spans="1:27" s="1027" customFormat="1" ht="22.5" customHeight="1" thickBot="1" x14ac:dyDescent="0.2">
      <c r="B16" s="1028"/>
      <c r="C16" s="1822" t="s">
        <v>2388</v>
      </c>
      <c r="D16" s="1824" t="s">
        <v>30</v>
      </c>
      <c r="E16" s="1826" t="s">
        <v>2416</v>
      </c>
      <c r="F16" s="1826"/>
      <c r="G16" s="1826"/>
      <c r="H16" s="1826"/>
      <c r="I16" s="1826"/>
      <c r="J16" s="1826"/>
      <c r="K16" s="1040"/>
      <c r="L16" s="1827" t="s">
        <v>30</v>
      </c>
      <c r="M16" s="1031"/>
      <c r="N16" s="1846"/>
      <c r="O16" s="1847"/>
      <c r="P16" s="1843" t="s">
        <v>2389</v>
      </c>
      <c r="Q16" s="1843"/>
      <c r="S16" s="1061" t="s">
        <v>2379</v>
      </c>
      <c r="T16" s="1035" t="s">
        <v>1984</v>
      </c>
      <c r="U16" s="1036" t="s">
        <v>2380</v>
      </c>
      <c r="W16" s="1849"/>
    </row>
    <row r="17" spans="2:27" s="1027" customFormat="1" ht="22.5" customHeight="1" thickBot="1" x14ac:dyDescent="0.2">
      <c r="B17" s="1028"/>
      <c r="C17" s="1823"/>
      <c r="D17" s="1825"/>
      <c r="E17" s="1830" t="s">
        <v>2390</v>
      </c>
      <c r="F17" s="1830"/>
      <c r="G17" s="1057"/>
      <c r="H17" s="1061" t="s">
        <v>2379</v>
      </c>
      <c r="I17" s="1058" t="s">
        <v>1984</v>
      </c>
      <c r="J17" s="1059" t="s">
        <v>2380</v>
      </c>
      <c r="L17" s="1828"/>
      <c r="M17" s="1031"/>
      <c r="N17" s="1851" t="s">
        <v>2391</v>
      </c>
      <c r="O17" s="1852" t="s">
        <v>30</v>
      </c>
      <c r="P17" s="1826" t="s">
        <v>2418</v>
      </c>
      <c r="Q17" s="1826"/>
      <c r="R17" s="1826"/>
      <c r="S17" s="1848"/>
      <c r="T17" s="1848"/>
      <c r="U17" s="1848"/>
      <c r="V17" s="1040"/>
      <c r="W17" s="1831" t="s">
        <v>30</v>
      </c>
    </row>
    <row r="18" spans="2:27" s="1027" customFormat="1" ht="22.5" customHeight="1" thickBot="1" x14ac:dyDescent="0.2">
      <c r="B18" s="1028"/>
      <c r="C18" s="1822" t="s">
        <v>2392</v>
      </c>
      <c r="D18" s="1824" t="s">
        <v>30</v>
      </c>
      <c r="E18" s="1826" t="s">
        <v>2416</v>
      </c>
      <c r="F18" s="1826"/>
      <c r="G18" s="1826"/>
      <c r="H18" s="1848"/>
      <c r="I18" s="1848"/>
      <c r="J18" s="1848"/>
      <c r="K18" s="1040"/>
      <c r="L18" s="1827" t="s">
        <v>30</v>
      </c>
      <c r="M18" s="1031"/>
      <c r="N18" s="1851"/>
      <c r="O18" s="1852"/>
      <c r="P18" s="1850" t="s">
        <v>2393</v>
      </c>
      <c r="Q18" s="1850"/>
      <c r="S18" s="1833" t="s">
        <v>2379</v>
      </c>
      <c r="T18" s="1835" t="s">
        <v>1984</v>
      </c>
      <c r="U18" s="1837" t="s">
        <v>2380</v>
      </c>
      <c r="W18" s="1831"/>
    </row>
    <row r="19" spans="2:27" s="1027" customFormat="1" ht="22.5" customHeight="1" thickBot="1" x14ac:dyDescent="0.2">
      <c r="B19" s="1028"/>
      <c r="C19" s="1823"/>
      <c r="D19" s="1839"/>
      <c r="E19" s="1843" t="s">
        <v>2389</v>
      </c>
      <c r="F19" s="1843"/>
      <c r="G19" s="1060"/>
      <c r="H19" s="1061" t="s">
        <v>2379</v>
      </c>
      <c r="I19" s="1058" t="s">
        <v>1984</v>
      </c>
      <c r="J19" s="1059" t="s">
        <v>2380</v>
      </c>
      <c r="L19" s="1842"/>
      <c r="M19" s="1031"/>
      <c r="N19" s="1851"/>
      <c r="O19" s="1853"/>
      <c r="P19" s="1850"/>
      <c r="Q19" s="1850"/>
      <c r="R19" s="1063"/>
      <c r="S19" s="1834"/>
      <c r="T19" s="1836"/>
      <c r="U19" s="1838"/>
      <c r="V19" s="1064"/>
      <c r="W19" s="1832"/>
    </row>
    <row r="20" spans="2:27" s="1027" customFormat="1" ht="22.5" customHeight="1" thickBot="1" x14ac:dyDescent="0.2">
      <c r="B20" s="1028"/>
      <c r="C20" s="1037"/>
      <c r="D20" s="1038"/>
      <c r="E20" s="1845"/>
      <c r="F20" s="1845"/>
      <c r="G20" s="1845"/>
      <c r="H20" s="1845"/>
      <c r="I20" s="1845"/>
      <c r="J20" s="1845"/>
      <c r="K20" s="1040"/>
      <c r="L20" s="1038"/>
      <c r="M20" s="1031"/>
    </row>
    <row r="21" spans="2:27" s="1027" customFormat="1" ht="27.95" customHeight="1" x14ac:dyDescent="0.15">
      <c r="B21" s="1028"/>
      <c r="C21" s="1029"/>
      <c r="D21" s="1050" t="s">
        <v>2421</v>
      </c>
      <c r="E21" s="1854" t="s">
        <v>2394</v>
      </c>
      <c r="F21" s="1854"/>
      <c r="G21" s="1854"/>
      <c r="H21" s="1854"/>
      <c r="I21" s="1854"/>
      <c r="J21" s="1854"/>
      <c r="K21" s="1040"/>
      <c r="L21" s="1052" t="s">
        <v>2375</v>
      </c>
      <c r="M21" s="1031"/>
      <c r="N21" s="1029"/>
      <c r="O21" s="1050" t="s">
        <v>2421</v>
      </c>
      <c r="P21" s="1821" t="s">
        <v>2395</v>
      </c>
      <c r="Q21" s="1821"/>
      <c r="R21" s="1821"/>
      <c r="S21" s="1821"/>
      <c r="T21" s="1821"/>
      <c r="U21" s="1821"/>
      <c r="V21" s="1040"/>
      <c r="W21" s="1052" t="s">
        <v>2375</v>
      </c>
    </row>
    <row r="22" spans="2:27" s="1027" customFormat="1" ht="22.5" customHeight="1" thickBot="1" x14ac:dyDescent="0.2">
      <c r="B22" s="1028"/>
      <c r="C22" s="1822" t="s">
        <v>2392</v>
      </c>
      <c r="D22" s="1824" t="s">
        <v>30</v>
      </c>
      <c r="E22" s="1826" t="s">
        <v>2417</v>
      </c>
      <c r="F22" s="1826"/>
      <c r="G22" s="1826"/>
      <c r="H22" s="1826"/>
      <c r="I22" s="1826"/>
      <c r="J22" s="1826"/>
      <c r="K22" s="1040"/>
      <c r="L22" s="1827" t="s">
        <v>30</v>
      </c>
      <c r="M22" s="1031"/>
      <c r="N22" s="1033" t="s">
        <v>2396</v>
      </c>
      <c r="O22" s="1054" t="s">
        <v>1984</v>
      </c>
      <c r="P22" s="1855" t="s">
        <v>2397</v>
      </c>
      <c r="Q22" s="1855"/>
      <c r="R22" s="1855"/>
      <c r="S22" s="1855"/>
      <c r="T22" s="1855"/>
      <c r="U22" s="1855"/>
      <c r="V22" s="1032"/>
      <c r="W22" s="1055" t="s">
        <v>30</v>
      </c>
    </row>
    <row r="23" spans="2:27" s="1027" customFormat="1" ht="45" customHeight="1" thickBot="1" x14ac:dyDescent="0.2">
      <c r="B23" s="1028"/>
      <c r="C23" s="1823"/>
      <c r="D23" s="1825"/>
      <c r="E23" s="1856" t="s">
        <v>2398</v>
      </c>
      <c r="F23" s="1856"/>
      <c r="G23" s="1057"/>
      <c r="H23" s="1061" t="s">
        <v>2379</v>
      </c>
      <c r="I23" s="1058" t="s">
        <v>1984</v>
      </c>
      <c r="J23" s="1059" t="s">
        <v>2380</v>
      </c>
      <c r="L23" s="1828"/>
      <c r="M23" s="1031"/>
      <c r="N23" s="1033" t="s">
        <v>2399</v>
      </c>
      <c r="O23" s="1054" t="s">
        <v>1984</v>
      </c>
      <c r="P23" s="1855" t="s">
        <v>2400</v>
      </c>
      <c r="Q23" s="1855"/>
      <c r="R23" s="1855"/>
      <c r="S23" s="1855"/>
      <c r="T23" s="1855"/>
      <c r="U23" s="1855"/>
      <c r="V23" s="1034"/>
      <c r="W23" s="1055" t="s">
        <v>30</v>
      </c>
    </row>
    <row r="24" spans="2:27" s="1027" customFormat="1" ht="22.5" customHeight="1" thickBot="1" x14ac:dyDescent="0.2">
      <c r="B24" s="1028"/>
      <c r="C24" s="1822" t="s">
        <v>1046</v>
      </c>
      <c r="D24" s="1824" t="s">
        <v>30</v>
      </c>
      <c r="E24" s="1826" t="s">
        <v>2417</v>
      </c>
      <c r="F24" s="1826"/>
      <c r="G24" s="1826"/>
      <c r="H24" s="1848"/>
      <c r="I24" s="1848"/>
      <c r="J24" s="1848"/>
      <c r="K24" s="1040"/>
      <c r="L24" s="1827" t="s">
        <v>30</v>
      </c>
      <c r="M24" s="1031"/>
      <c r="N24" s="1822" t="s">
        <v>2401</v>
      </c>
      <c r="O24" s="1824" t="s">
        <v>30</v>
      </c>
      <c r="P24" s="1826" t="s">
        <v>2419</v>
      </c>
      <c r="Q24" s="1826"/>
      <c r="R24" s="1826"/>
      <c r="S24" s="1826"/>
      <c r="T24" s="1826"/>
      <c r="U24" s="1826"/>
      <c r="W24" s="1827" t="s">
        <v>30</v>
      </c>
    </row>
    <row r="25" spans="2:27" s="1027" customFormat="1" ht="45" customHeight="1" thickBot="1" x14ac:dyDescent="0.2">
      <c r="B25" s="1028"/>
      <c r="C25" s="1823"/>
      <c r="D25" s="1839"/>
      <c r="E25" s="1850" t="s">
        <v>2402</v>
      </c>
      <c r="F25" s="1850"/>
      <c r="G25" s="1060"/>
      <c r="H25" s="1061" t="s">
        <v>2379</v>
      </c>
      <c r="I25" s="1058" t="s">
        <v>1984</v>
      </c>
      <c r="J25" s="1059" t="s">
        <v>2380</v>
      </c>
      <c r="K25" s="1034"/>
      <c r="L25" s="1842"/>
      <c r="M25" s="1031"/>
      <c r="N25" s="1823"/>
      <c r="O25" s="1825"/>
      <c r="P25" s="1850" t="s">
        <v>2403</v>
      </c>
      <c r="Q25" s="1850"/>
      <c r="S25" s="1061" t="s">
        <v>2379</v>
      </c>
      <c r="T25" s="1035" t="s">
        <v>1984</v>
      </c>
      <c r="U25" s="1036" t="s">
        <v>2380</v>
      </c>
      <c r="V25" s="1034"/>
      <c r="W25" s="1828"/>
    </row>
    <row r="26" spans="2:27" s="1027" customFormat="1" ht="22.5" customHeight="1" thickBot="1" x14ac:dyDescent="0.2">
      <c r="B26" s="1028"/>
      <c r="C26" s="1037"/>
      <c r="D26" s="1038"/>
      <c r="E26" s="1857"/>
      <c r="F26" s="1857"/>
      <c r="G26" s="1857"/>
      <c r="H26" s="1857"/>
      <c r="I26" s="1857"/>
      <c r="J26" s="1857"/>
      <c r="L26" s="1038"/>
      <c r="M26" s="1031"/>
      <c r="N26" s="1033" t="s">
        <v>2404</v>
      </c>
      <c r="O26" s="1051" t="s">
        <v>1984</v>
      </c>
      <c r="P26" s="1855" t="s">
        <v>2405</v>
      </c>
      <c r="Q26" s="1855"/>
      <c r="R26" s="1855"/>
      <c r="S26" s="1843"/>
      <c r="T26" s="1843"/>
      <c r="U26" s="1843"/>
      <c r="V26" s="1034"/>
      <c r="W26" s="1053" t="s">
        <v>30</v>
      </c>
    </row>
    <row r="27" spans="2:27" s="1027" customFormat="1" ht="27.95" customHeight="1" x14ac:dyDescent="0.15">
      <c r="B27" s="1028"/>
      <c r="C27" s="1041"/>
      <c r="D27" s="1050" t="s">
        <v>2421</v>
      </c>
      <c r="E27" s="1858" t="s">
        <v>2406</v>
      </c>
      <c r="F27" s="1858"/>
      <c r="G27" s="1858"/>
      <c r="H27" s="1858"/>
      <c r="I27" s="1858"/>
      <c r="J27" s="1858"/>
      <c r="K27" s="1040"/>
      <c r="L27" s="1052" t="s">
        <v>2375</v>
      </c>
      <c r="M27" s="1031"/>
      <c r="N27" s="1042"/>
      <c r="O27" s="1043" t="s">
        <v>2407</v>
      </c>
      <c r="P27" s="1044"/>
      <c r="Q27" s="1045"/>
      <c r="S27" s="1045"/>
      <c r="T27" s="1045"/>
      <c r="U27" s="1038"/>
      <c r="W27" s="1046" t="s">
        <v>2408</v>
      </c>
    </row>
    <row r="28" spans="2:27" s="1027" customFormat="1" ht="22.5" customHeight="1" thickBot="1" x14ac:dyDescent="0.2">
      <c r="B28" s="1028"/>
      <c r="C28" s="1047" t="s">
        <v>1047</v>
      </c>
      <c r="D28" s="1051" t="s">
        <v>1984</v>
      </c>
      <c r="E28" s="1859" t="s">
        <v>2409</v>
      </c>
      <c r="F28" s="1860"/>
      <c r="G28" s="1860"/>
      <c r="H28" s="1860"/>
      <c r="I28" s="1860"/>
      <c r="J28" s="1860"/>
      <c r="K28" s="1032"/>
      <c r="L28" s="1053" t="s">
        <v>30</v>
      </c>
      <c r="M28" s="1031"/>
      <c r="N28" s="1042"/>
      <c r="O28" s="1038"/>
      <c r="P28" s="1048"/>
      <c r="Q28" s="1048"/>
      <c r="S28" s="1048"/>
      <c r="T28" s="1048"/>
      <c r="U28" s="1038"/>
      <c r="W28" s="1038"/>
    </row>
    <row r="29" spans="2:27" s="1027" customFormat="1" ht="23.25" customHeight="1" x14ac:dyDescent="0.15">
      <c r="B29" s="1028"/>
      <c r="D29" s="1043" t="s">
        <v>2407</v>
      </c>
      <c r="K29" s="1043"/>
      <c r="L29" s="1046" t="s">
        <v>2408</v>
      </c>
      <c r="O29" s="1861" t="s">
        <v>2410</v>
      </c>
      <c r="P29" s="1861"/>
      <c r="Q29" s="1861"/>
      <c r="R29" s="1861"/>
      <c r="S29" s="1861"/>
      <c r="T29" s="1861"/>
      <c r="U29" s="1861"/>
      <c r="V29" s="1861"/>
      <c r="W29" s="1861"/>
    </row>
    <row r="30" spans="2:27" s="1027" customFormat="1" ht="14.25" customHeight="1" x14ac:dyDescent="0.15">
      <c r="B30" s="1028"/>
      <c r="O30" s="1861"/>
      <c r="P30" s="1861"/>
      <c r="Q30" s="1861"/>
      <c r="R30" s="1861"/>
      <c r="S30" s="1861"/>
      <c r="T30" s="1861"/>
      <c r="U30" s="1861"/>
      <c r="V30" s="1861"/>
      <c r="W30" s="1861"/>
    </row>
    <row r="31" spans="2:27" ht="24.75" customHeight="1" x14ac:dyDescent="0.15">
      <c r="C31" s="1862"/>
      <c r="D31" s="1862"/>
      <c r="E31" s="1049"/>
      <c r="F31" s="1049"/>
      <c r="G31" s="1049"/>
      <c r="H31" s="1049"/>
      <c r="I31" s="1049"/>
      <c r="J31" s="1049"/>
      <c r="K31" s="1049"/>
      <c r="L31" s="1049"/>
      <c r="M31" s="1049"/>
      <c r="N31" s="1049"/>
      <c r="O31" s="1861"/>
      <c r="P31" s="1861"/>
      <c r="Q31" s="1861"/>
      <c r="R31" s="1861"/>
      <c r="S31" s="1861"/>
      <c r="T31" s="1861"/>
      <c r="U31" s="1861"/>
      <c r="V31" s="1861"/>
      <c r="W31" s="1861"/>
      <c r="AA31" s="1027"/>
    </row>
    <row r="32" spans="2:27" ht="24.75" customHeight="1" x14ac:dyDescent="0.15">
      <c r="C32" s="1049"/>
      <c r="D32" s="1049"/>
      <c r="E32" s="1863"/>
      <c r="F32" s="1863"/>
      <c r="G32" s="1863"/>
      <c r="H32" s="1863"/>
      <c r="I32" s="1863"/>
      <c r="J32" s="1863"/>
      <c r="K32" s="1863"/>
      <c r="L32" s="1863"/>
      <c r="M32" s="1863"/>
      <c r="N32" s="1863"/>
      <c r="O32" s="1863"/>
      <c r="P32" s="1863"/>
      <c r="Q32" s="1863"/>
      <c r="R32" s="1863"/>
      <c r="S32" s="1863"/>
      <c r="T32" s="1863"/>
      <c r="U32" s="1863"/>
    </row>
  </sheetData>
  <mergeCells count="75">
    <mergeCell ref="E27:J27"/>
    <mergeCell ref="E28:J28"/>
    <mergeCell ref="O29:W31"/>
    <mergeCell ref="C31:D31"/>
    <mergeCell ref="E32:U32"/>
    <mergeCell ref="P24:U24"/>
    <mergeCell ref="W24:W25"/>
    <mergeCell ref="E25:F25"/>
    <mergeCell ref="P25:Q25"/>
    <mergeCell ref="E26:J26"/>
    <mergeCell ref="P26:U26"/>
    <mergeCell ref="O24:O25"/>
    <mergeCell ref="C24:C25"/>
    <mergeCell ref="D24:D25"/>
    <mergeCell ref="E24:J24"/>
    <mergeCell ref="L24:L25"/>
    <mergeCell ref="N24:N25"/>
    <mergeCell ref="E20:J20"/>
    <mergeCell ref="E21:J21"/>
    <mergeCell ref="P21:U21"/>
    <mergeCell ref="C22:C23"/>
    <mergeCell ref="D22:D23"/>
    <mergeCell ref="E22:J22"/>
    <mergeCell ref="L22:L23"/>
    <mergeCell ref="P22:U22"/>
    <mergeCell ref="E23:F23"/>
    <mergeCell ref="P23:U23"/>
    <mergeCell ref="C18:C19"/>
    <mergeCell ref="D18:D19"/>
    <mergeCell ref="E18:J18"/>
    <mergeCell ref="L18:L19"/>
    <mergeCell ref="P18:Q19"/>
    <mergeCell ref="E19:F19"/>
    <mergeCell ref="N17:N19"/>
    <mergeCell ref="O17:O19"/>
    <mergeCell ref="P17:U17"/>
    <mergeCell ref="C16:C17"/>
    <mergeCell ref="D16:D17"/>
    <mergeCell ref="E16:J16"/>
    <mergeCell ref="L16:L17"/>
    <mergeCell ref="P16:Q16"/>
    <mergeCell ref="E17:F17"/>
    <mergeCell ref="E15:J15"/>
    <mergeCell ref="N15:N16"/>
    <mergeCell ref="O15:O16"/>
    <mergeCell ref="P15:U15"/>
    <mergeCell ref="W15:W16"/>
    <mergeCell ref="W17:W19"/>
    <mergeCell ref="S18:S19"/>
    <mergeCell ref="T18:T19"/>
    <mergeCell ref="U18:U19"/>
    <mergeCell ref="C12:C13"/>
    <mergeCell ref="D12:D13"/>
    <mergeCell ref="E12:J12"/>
    <mergeCell ref="L12:L13"/>
    <mergeCell ref="P12:U12"/>
    <mergeCell ref="E13:F13"/>
    <mergeCell ref="N13:N14"/>
    <mergeCell ref="O13:O14"/>
    <mergeCell ref="P13:U13"/>
    <mergeCell ref="W13:W14"/>
    <mergeCell ref="E14:J14"/>
    <mergeCell ref="P14:Q14"/>
    <mergeCell ref="C10:C11"/>
    <mergeCell ref="D10:D11"/>
    <mergeCell ref="E10:J10"/>
    <mergeCell ref="L10:L11"/>
    <mergeCell ref="P10:U10"/>
    <mergeCell ref="E11:F11"/>
    <mergeCell ref="T3:W3"/>
    <mergeCell ref="F4:Q6"/>
    <mergeCell ref="T4:W4"/>
    <mergeCell ref="S6:W6"/>
    <mergeCell ref="E9:J9"/>
    <mergeCell ref="P9:U9"/>
  </mergeCells>
  <phoneticPr fontId="3"/>
  <dataValidations count="1">
    <dataValidation type="list" allowBlank="1" showInputMessage="1" showErrorMessage="1" sqref="D24 D22 D12 D10 D16 D18 D28 L24 L22 L12 L10 O10 L16 L18 L28 O13 O15 O17 O28 O26 O22:O24 I25 I19 I17 I11 I13 I23 W10 W13 W15 W17 W22:W24 W26 T25 T18 T16 T14 U27:U28">
      <formula1>$AA$2:$AA$6</formula1>
    </dataValidation>
  </dataValidations>
  <printOptions horizontalCentered="1"/>
  <pageMargins left="0.11811023622047244" right="0.11811023622047244" top="0.55118110236220474" bottom="0.15748031496062992" header="0.31496062992125984" footer="0.31496062992125984"/>
  <pageSetup paperSize="9" scale="7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H23"/>
  <sheetViews>
    <sheetView tabSelected="1" view="pageBreakPreview" topLeftCell="A16" zoomScaleNormal="100" zoomScaleSheetLayoutView="100" workbookViewId="0">
      <selection activeCell="S8" sqref="S8"/>
    </sheetView>
  </sheetViews>
  <sheetFormatPr defaultColWidth="4.125" defaultRowHeight="18" customHeight="1" x14ac:dyDescent="0.15"/>
  <cols>
    <col min="1" max="1" width="1.875" style="260" customWidth="1"/>
    <col min="2" max="2" width="4.625" style="260" customWidth="1"/>
    <col min="3" max="3" width="7.25" style="260" customWidth="1"/>
    <col min="4" max="4" width="3.5" style="260" customWidth="1"/>
    <col min="5" max="5" width="11.5" style="260" customWidth="1"/>
    <col min="6" max="6" width="10.5" style="260" customWidth="1"/>
    <col min="7" max="7" width="7.75" style="260" customWidth="1"/>
    <col min="8" max="8" width="3.5" style="260" customWidth="1"/>
    <col min="9" max="9" width="7.375" style="260" customWidth="1"/>
    <col min="10" max="10" width="3.5" style="260" customWidth="1"/>
    <col min="11" max="11" width="8" style="260" customWidth="1"/>
    <col min="12" max="12" width="15.25" style="260" customWidth="1"/>
    <col min="13" max="13" width="7.375" style="260" customWidth="1"/>
    <col min="14" max="14" width="12.25" style="260" customWidth="1"/>
    <col min="15" max="15" width="2.625" style="260" customWidth="1"/>
    <col min="16" max="16" width="5.875" style="260" customWidth="1"/>
    <col min="17" max="122" width="4.625" style="260" customWidth="1"/>
    <col min="123" max="255" width="8.625" style="260" customWidth="1"/>
    <col min="256" max="16384" width="4.125" style="260"/>
  </cols>
  <sheetData>
    <row r="2" spans="1:34" ht="24.4" customHeight="1" x14ac:dyDescent="0.15">
      <c r="B2" s="1865" t="s">
        <v>2422</v>
      </c>
      <c r="C2" s="1866"/>
      <c r="D2" s="1866"/>
      <c r="E2" s="1866"/>
      <c r="F2" s="1866"/>
      <c r="G2" s="1866"/>
      <c r="H2" s="1866"/>
      <c r="I2" s="1866"/>
      <c r="J2" s="1866"/>
      <c r="K2" s="1866"/>
      <c r="L2" s="1866"/>
      <c r="M2" s="1866"/>
      <c r="N2" s="1867"/>
    </row>
    <row r="3" spans="1:34" ht="21.75" customHeight="1" x14ac:dyDescent="0.15">
      <c r="B3" s="262"/>
      <c r="C3" s="262"/>
      <c r="D3" s="262"/>
      <c r="E3" s="262"/>
    </row>
    <row r="4" spans="1:34" ht="19.7" customHeight="1" x14ac:dyDescent="0.15">
      <c r="A4" s="263" t="s">
        <v>870</v>
      </c>
      <c r="B4" s="264"/>
      <c r="C4" s="264"/>
      <c r="D4" s="264"/>
      <c r="E4" s="264"/>
      <c r="F4" s="264"/>
      <c r="G4" s="264"/>
      <c r="H4" s="264"/>
      <c r="I4" s="264"/>
    </row>
    <row r="5" spans="1:34" ht="20.25" customHeight="1" x14ac:dyDescent="0.15">
      <c r="A5" s="263"/>
      <c r="B5" s="258" t="s">
        <v>890</v>
      </c>
      <c r="C5" s="258"/>
      <c r="F5" s="265"/>
      <c r="G5" s="265"/>
      <c r="H5" s="266"/>
      <c r="I5" s="266"/>
    </row>
    <row r="6" spans="1:34" ht="30.75" customHeight="1" x14ac:dyDescent="0.15">
      <c r="A6" s="267"/>
      <c r="B6" s="1868" t="str">
        <f>はじめに!D5</f>
        <v>真庭集落協定</v>
      </c>
      <c r="C6" s="1869"/>
      <c r="D6" s="1869"/>
      <c r="E6" s="1869"/>
      <c r="F6" s="1869"/>
      <c r="G6" s="1869"/>
      <c r="H6" s="1869"/>
      <c r="I6" s="1869"/>
      <c r="J6" s="1869"/>
      <c r="K6" s="1869"/>
      <c r="L6" s="1869"/>
      <c r="M6" s="1870"/>
    </row>
    <row r="7" spans="1:34" ht="20.100000000000001" customHeight="1" x14ac:dyDescent="0.15">
      <c r="A7" s="267"/>
      <c r="B7" s="268"/>
      <c r="C7" s="268"/>
      <c r="D7" s="269"/>
      <c r="E7" s="269"/>
      <c r="F7" s="269"/>
      <c r="G7" s="269"/>
      <c r="H7" s="270"/>
      <c r="I7" s="270"/>
      <c r="J7" s="269"/>
      <c r="K7" s="269"/>
      <c r="L7" s="269"/>
      <c r="M7" s="271"/>
    </row>
    <row r="8" spans="1:34" s="258" customFormat="1" ht="22.5" customHeight="1" x14ac:dyDescent="0.15">
      <c r="A8" s="263"/>
      <c r="B8" s="258" t="s">
        <v>891</v>
      </c>
      <c r="M8" s="259"/>
      <c r="N8" s="259"/>
      <c r="Q8" s="272"/>
    </row>
    <row r="9" spans="1:34" ht="24" customHeight="1" x14ac:dyDescent="0.15">
      <c r="A9" s="267"/>
      <c r="B9" s="1871" t="s">
        <v>892</v>
      </c>
      <c r="C9" s="1871"/>
      <c r="D9" s="1871"/>
      <c r="E9" s="1871"/>
      <c r="F9" s="1872" t="s">
        <v>893</v>
      </c>
      <c r="G9" s="1872"/>
      <c r="H9" s="1872"/>
      <c r="I9" s="1872"/>
      <c r="J9" s="1872"/>
      <c r="K9" s="1872"/>
      <c r="L9" s="1872"/>
    </row>
    <row r="10" spans="1:34" ht="24" customHeight="1" x14ac:dyDescent="0.15">
      <c r="A10" s="267"/>
      <c r="B10" s="1871" t="s">
        <v>894</v>
      </c>
      <c r="C10" s="1871"/>
      <c r="D10" s="1871"/>
      <c r="E10" s="1871"/>
      <c r="F10" s="1873"/>
      <c r="G10" s="1873"/>
      <c r="H10" s="1873"/>
      <c r="I10" s="1873"/>
      <c r="J10" s="1873"/>
      <c r="K10" s="1873"/>
      <c r="L10" s="1873"/>
    </row>
    <row r="11" spans="1:34" ht="24" customHeight="1" x14ac:dyDescent="0.15">
      <c r="A11" s="267"/>
      <c r="B11" s="1871" t="s">
        <v>895</v>
      </c>
      <c r="C11" s="1871"/>
      <c r="D11" s="1871"/>
      <c r="E11" s="1871"/>
      <c r="F11" s="1873"/>
      <c r="G11" s="1873"/>
      <c r="H11" s="1873"/>
      <c r="I11" s="1873"/>
      <c r="J11" s="1873"/>
      <c r="K11" s="1873"/>
      <c r="L11" s="1873"/>
    </row>
    <row r="12" spans="1:34" ht="24" customHeight="1" x14ac:dyDescent="0.15">
      <c r="A12" s="267"/>
      <c r="B12" s="1871" t="s">
        <v>896</v>
      </c>
      <c r="C12" s="1871"/>
      <c r="D12" s="1871"/>
      <c r="E12" s="1871"/>
      <c r="F12" s="1873"/>
      <c r="G12" s="1873"/>
      <c r="H12" s="1873"/>
      <c r="I12" s="1873"/>
      <c r="J12" s="1873"/>
      <c r="K12" s="1873"/>
      <c r="L12" s="1873"/>
    </row>
    <row r="13" spans="1:34" ht="94.5" customHeight="1" x14ac:dyDescent="0.15">
      <c r="A13" s="267"/>
      <c r="B13" s="1874" t="s">
        <v>871</v>
      </c>
      <c r="C13" s="1874"/>
      <c r="D13" s="1874"/>
      <c r="E13" s="1874"/>
      <c r="F13" s="1874"/>
      <c r="G13" s="1874"/>
      <c r="H13" s="1874"/>
      <c r="I13" s="1874"/>
      <c r="J13" s="1874"/>
      <c r="K13" s="1874"/>
      <c r="L13" s="1874"/>
      <c r="M13" s="261"/>
      <c r="N13" s="261"/>
      <c r="O13" s="261"/>
      <c r="P13" s="261"/>
      <c r="Q13" s="261"/>
      <c r="R13" s="261"/>
      <c r="S13" s="261"/>
      <c r="T13" s="261"/>
      <c r="U13" s="261"/>
      <c r="V13" s="261"/>
      <c r="W13" s="261"/>
      <c r="X13" s="261"/>
      <c r="Y13" s="261"/>
      <c r="Z13" s="261"/>
      <c r="AA13" s="261"/>
      <c r="AB13" s="261"/>
      <c r="AC13" s="261"/>
      <c r="AD13" s="261"/>
      <c r="AE13" s="261"/>
      <c r="AF13" s="261"/>
      <c r="AG13" s="261"/>
      <c r="AH13" s="261"/>
    </row>
    <row r="14" spans="1:34" ht="20.100000000000001" customHeight="1" x14ac:dyDescent="0.15">
      <c r="A14" s="267"/>
      <c r="B14" s="273"/>
      <c r="C14" s="273"/>
      <c r="D14" s="273"/>
      <c r="E14" s="273"/>
      <c r="F14" s="273"/>
      <c r="G14" s="273"/>
      <c r="H14" s="273"/>
      <c r="I14" s="273"/>
      <c r="J14" s="273"/>
      <c r="K14" s="273"/>
      <c r="L14" s="273"/>
      <c r="M14" s="273"/>
      <c r="N14" s="273"/>
      <c r="O14" s="261"/>
      <c r="P14" s="261"/>
      <c r="Q14" s="261"/>
      <c r="R14" s="261"/>
      <c r="S14" s="261"/>
      <c r="T14" s="261"/>
      <c r="U14" s="261"/>
      <c r="V14" s="261"/>
      <c r="W14" s="261"/>
      <c r="X14" s="261"/>
      <c r="Y14" s="261"/>
      <c r="Z14" s="261"/>
      <c r="AA14" s="261"/>
      <c r="AB14" s="261"/>
      <c r="AC14" s="261"/>
      <c r="AD14" s="261"/>
      <c r="AE14" s="261"/>
      <c r="AF14" s="261"/>
      <c r="AG14" s="261"/>
      <c r="AH14" s="261"/>
    </row>
    <row r="15" spans="1:34" s="258" customFormat="1" ht="22.5" customHeight="1" x14ac:dyDescent="0.15">
      <c r="A15" s="263"/>
      <c r="B15" s="258" t="s">
        <v>872</v>
      </c>
      <c r="M15" s="259"/>
      <c r="N15" s="259"/>
      <c r="Q15" s="272"/>
    </row>
    <row r="16" spans="1:34" ht="24" customHeight="1" thickBot="1" x14ac:dyDescent="0.2">
      <c r="A16" s="267"/>
      <c r="B16" s="1864" t="s">
        <v>873</v>
      </c>
      <c r="C16" s="1864"/>
      <c r="D16" s="1864" t="s">
        <v>874</v>
      </c>
      <c r="E16" s="1864"/>
      <c r="F16" s="1864"/>
      <c r="G16" s="1864" t="s">
        <v>875</v>
      </c>
      <c r="H16" s="1864"/>
      <c r="I16" s="1864"/>
      <c r="J16" s="1864"/>
      <c r="K16" s="1864"/>
      <c r="L16" s="1864" t="s">
        <v>876</v>
      </c>
      <c r="M16" s="1864"/>
    </row>
    <row r="17" spans="1:34" ht="47.65" customHeight="1" thickTop="1" x14ac:dyDescent="0.15">
      <c r="A17" s="267"/>
      <c r="B17" s="1875" t="s">
        <v>1043</v>
      </c>
      <c r="C17" s="1876"/>
      <c r="D17" s="1879" t="s">
        <v>877</v>
      </c>
      <c r="E17" s="1879"/>
      <c r="F17" s="1879"/>
      <c r="G17" s="1879" t="s">
        <v>878</v>
      </c>
      <c r="H17" s="1879"/>
      <c r="I17" s="1879"/>
      <c r="J17" s="1879"/>
      <c r="K17" s="1879"/>
      <c r="L17" s="1879" t="s">
        <v>879</v>
      </c>
      <c r="M17" s="1879"/>
    </row>
    <row r="18" spans="1:34" ht="85.9" customHeight="1" x14ac:dyDescent="0.15">
      <c r="A18" s="267"/>
      <c r="B18" s="1877"/>
      <c r="C18" s="1878"/>
      <c r="D18" s="1871"/>
      <c r="E18" s="1871"/>
      <c r="F18" s="1871"/>
      <c r="G18" s="1871" t="s">
        <v>880</v>
      </c>
      <c r="H18" s="1871"/>
      <c r="I18" s="1871"/>
      <c r="J18" s="1871"/>
      <c r="K18" s="1871"/>
      <c r="L18" s="1871"/>
      <c r="M18" s="1871"/>
    </row>
    <row r="19" spans="1:34" ht="43.15" customHeight="1" x14ac:dyDescent="0.15">
      <c r="A19" s="267"/>
      <c r="B19" s="1880" t="s">
        <v>1043</v>
      </c>
      <c r="C19" s="1881"/>
      <c r="D19" s="1871" t="s">
        <v>881</v>
      </c>
      <c r="E19" s="1871"/>
      <c r="F19" s="1871"/>
      <c r="G19" s="1871" t="s">
        <v>882</v>
      </c>
      <c r="H19" s="1871"/>
      <c r="I19" s="1871"/>
      <c r="J19" s="1871"/>
      <c r="K19" s="1871"/>
      <c r="L19" s="1871" t="s">
        <v>883</v>
      </c>
      <c r="M19" s="1871"/>
    </row>
    <row r="20" spans="1:34" ht="62.65" customHeight="1" x14ac:dyDescent="0.15">
      <c r="A20" s="267"/>
      <c r="B20" s="1882"/>
      <c r="C20" s="1883"/>
      <c r="D20" s="1871"/>
      <c r="E20" s="1871"/>
      <c r="F20" s="1871"/>
      <c r="G20" s="1871" t="s">
        <v>884</v>
      </c>
      <c r="H20" s="1871"/>
      <c r="I20" s="1871"/>
      <c r="J20" s="1871"/>
      <c r="K20" s="1871"/>
      <c r="L20" s="1871" t="s">
        <v>885</v>
      </c>
      <c r="M20" s="1871"/>
    </row>
    <row r="21" spans="1:34" ht="68.25" customHeight="1" x14ac:dyDescent="0.15">
      <c r="A21" s="267"/>
      <c r="B21" s="1884" t="s">
        <v>1043</v>
      </c>
      <c r="C21" s="1884"/>
      <c r="D21" s="1871" t="s">
        <v>886</v>
      </c>
      <c r="E21" s="1871"/>
      <c r="F21" s="1871"/>
      <c r="G21" s="1871" t="s">
        <v>887</v>
      </c>
      <c r="H21" s="1871"/>
      <c r="I21" s="1871"/>
      <c r="J21" s="1871"/>
      <c r="K21" s="1871"/>
      <c r="L21" s="1871" t="s">
        <v>888</v>
      </c>
      <c r="M21" s="1871"/>
    </row>
    <row r="22" spans="1:34" ht="288" customHeight="1" x14ac:dyDescent="0.15">
      <c r="A22" s="267"/>
      <c r="B22" s="1874" t="s">
        <v>889</v>
      </c>
      <c r="C22" s="1874"/>
      <c r="D22" s="1874"/>
      <c r="E22" s="1874"/>
      <c r="F22" s="1874"/>
      <c r="G22" s="1874"/>
      <c r="H22" s="1874"/>
      <c r="I22" s="1874"/>
      <c r="J22" s="1874"/>
      <c r="K22" s="1874"/>
      <c r="L22" s="1874"/>
      <c r="M22" s="1874"/>
      <c r="N22" s="261"/>
      <c r="O22" s="261"/>
      <c r="P22" s="261"/>
      <c r="Q22" s="261"/>
      <c r="R22" s="261"/>
      <c r="S22" s="261"/>
      <c r="T22" s="261"/>
      <c r="U22" s="261"/>
      <c r="V22" s="261"/>
      <c r="W22" s="261"/>
      <c r="X22" s="261"/>
      <c r="Y22" s="261"/>
      <c r="Z22" s="261"/>
      <c r="AA22" s="261"/>
      <c r="AB22" s="261"/>
      <c r="AC22" s="261"/>
      <c r="AD22" s="261"/>
      <c r="AE22" s="261"/>
      <c r="AF22" s="261"/>
      <c r="AG22" s="261"/>
      <c r="AH22" s="261"/>
    </row>
    <row r="23" spans="1:34" ht="20.100000000000001" customHeight="1" x14ac:dyDescent="0.15">
      <c r="A23" s="267"/>
      <c r="B23" s="273"/>
      <c r="C23" s="273"/>
      <c r="D23" s="273"/>
      <c r="E23" s="273"/>
      <c r="F23" s="273"/>
      <c r="G23" s="273"/>
      <c r="H23" s="273"/>
      <c r="I23" s="273"/>
      <c r="J23" s="273"/>
      <c r="K23" s="273"/>
      <c r="L23" s="273"/>
      <c r="M23" s="273"/>
      <c r="N23" s="273"/>
      <c r="O23" s="261"/>
      <c r="P23" s="261"/>
      <c r="Q23" s="261"/>
      <c r="R23" s="261"/>
      <c r="S23" s="261"/>
      <c r="T23" s="261"/>
      <c r="U23" s="261"/>
      <c r="V23" s="261"/>
      <c r="W23" s="261"/>
      <c r="X23" s="261"/>
      <c r="Y23" s="261"/>
      <c r="Z23" s="261"/>
      <c r="AA23" s="261"/>
      <c r="AB23" s="261"/>
      <c r="AC23" s="261"/>
      <c r="AD23" s="261"/>
      <c r="AE23" s="261"/>
      <c r="AF23" s="261"/>
      <c r="AG23" s="261"/>
      <c r="AH23" s="261"/>
    </row>
  </sheetData>
  <mergeCells count="31">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s>
  <phoneticPr fontId="3"/>
  <dataValidations count="1">
    <dataValidation type="list" allowBlank="1" showInputMessage="1" showErrorMessage="1" prompt="該当する場合「○」を記載" sqref="B21:C21 B19:C20 B17:C18">
      <formula1>"　,○,"</formula1>
    </dataValidation>
  </dataValidations>
  <printOptions horizontalCentered="1"/>
  <pageMargins left="0.59055118110236227" right="0.31496062992125984" top="0.55118110236220474" bottom="0.15748031496062992" header="0.31496062992125984" footer="0.31496062992125984"/>
  <pageSetup paperSize="9" scale="8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H71"/>
  <sheetViews>
    <sheetView tabSelected="1" view="pageBreakPreview" topLeftCell="A64" zoomScale="125" zoomScaleNormal="100" zoomScaleSheetLayoutView="100" workbookViewId="0">
      <selection activeCell="S8" sqref="S8"/>
    </sheetView>
  </sheetViews>
  <sheetFormatPr defaultColWidth="4.125" defaultRowHeight="18" customHeight="1" x14ac:dyDescent="0.15"/>
  <cols>
    <col min="1" max="1" width="1.875" style="260" customWidth="1"/>
    <col min="2" max="3" width="9.625" style="260" customWidth="1"/>
    <col min="4" max="4" width="7.5" style="260" customWidth="1"/>
    <col min="5" max="5" width="9" style="260" customWidth="1"/>
    <col min="6" max="6" width="8.5" style="260" customWidth="1"/>
    <col min="7" max="7" width="7.5" style="260" customWidth="1"/>
    <col min="8" max="14" width="9.625" style="260" customWidth="1"/>
    <col min="15" max="15" width="2.625" style="260" customWidth="1"/>
    <col min="16" max="16" width="5.875" style="260" customWidth="1"/>
    <col min="17" max="122" width="4.625" style="260" customWidth="1"/>
    <col min="123" max="255" width="8.625" style="260" customWidth="1"/>
    <col min="256" max="16384" width="4.125" style="260"/>
  </cols>
  <sheetData>
    <row r="2" spans="1:34" ht="19.7" customHeight="1" x14ac:dyDescent="0.15">
      <c r="A2" s="263" t="s">
        <v>897</v>
      </c>
      <c r="B2" s="264"/>
      <c r="C2" s="264"/>
      <c r="D2" s="264"/>
      <c r="E2" s="264"/>
      <c r="F2" s="264"/>
      <c r="G2" s="264"/>
      <c r="H2" s="264"/>
      <c r="I2" s="264"/>
    </row>
    <row r="3" spans="1:34" ht="66.95" customHeight="1" x14ac:dyDescent="0.15">
      <c r="A3" s="267"/>
      <c r="B3" s="1885" t="s">
        <v>898</v>
      </c>
      <c r="C3" s="1885"/>
      <c r="D3" s="1885"/>
      <c r="E3" s="1885"/>
      <c r="F3" s="1885"/>
      <c r="G3" s="1885"/>
      <c r="H3" s="1885"/>
      <c r="I3" s="1885"/>
      <c r="J3" s="1885"/>
      <c r="K3" s="1885"/>
      <c r="L3" s="1885"/>
      <c r="M3" s="1885"/>
      <c r="N3" s="1885"/>
      <c r="O3" s="261"/>
      <c r="P3" s="261"/>
      <c r="Q3" s="261"/>
      <c r="R3" s="261"/>
      <c r="S3" s="261"/>
      <c r="T3" s="261"/>
      <c r="U3" s="261"/>
      <c r="V3" s="261"/>
      <c r="W3" s="261"/>
      <c r="X3" s="261"/>
      <c r="Y3" s="261"/>
      <c r="Z3" s="261"/>
      <c r="AA3" s="261"/>
      <c r="AB3" s="261"/>
      <c r="AC3" s="261"/>
      <c r="AD3" s="261"/>
      <c r="AE3" s="261"/>
      <c r="AF3" s="261"/>
      <c r="AG3" s="261"/>
      <c r="AH3" s="261"/>
    </row>
    <row r="4" spans="1:34" ht="20.100000000000001" customHeight="1" x14ac:dyDescent="0.15">
      <c r="A4" s="267"/>
      <c r="B4" s="268"/>
      <c r="C4" s="268"/>
      <c r="D4" s="269"/>
      <c r="E4" s="269"/>
      <c r="F4" s="269"/>
      <c r="G4" s="269"/>
      <c r="H4" s="270"/>
      <c r="I4" s="270"/>
      <c r="J4" s="269"/>
      <c r="K4" s="269"/>
      <c r="L4" s="269"/>
      <c r="M4" s="271"/>
    </row>
    <row r="5" spans="1:34" ht="20.25" customHeight="1" x14ac:dyDescent="0.15">
      <c r="A5" s="263"/>
      <c r="B5" s="258" t="s">
        <v>899</v>
      </c>
      <c r="C5" s="258"/>
      <c r="F5" s="265"/>
      <c r="G5" s="265"/>
      <c r="H5" s="266"/>
      <c r="I5" s="266"/>
    </row>
    <row r="6" spans="1:34" ht="30.75" customHeight="1" x14ac:dyDescent="0.15">
      <c r="A6" s="267"/>
      <c r="B6" s="1886" t="s">
        <v>900</v>
      </c>
      <c r="C6" s="1887"/>
      <c r="D6" s="1887"/>
      <c r="E6" s="1887"/>
      <c r="F6" s="1887"/>
      <c r="G6" s="1887"/>
      <c r="H6" s="1887"/>
      <c r="I6" s="1887"/>
      <c r="J6" s="1887"/>
      <c r="K6" s="1887"/>
      <c r="L6" s="1887"/>
      <c r="M6" s="1888"/>
    </row>
    <row r="7" spans="1:34" ht="20.100000000000001" customHeight="1" x14ac:dyDescent="0.15">
      <c r="A7" s="267"/>
      <c r="B7" s="268"/>
      <c r="C7" s="268"/>
      <c r="D7" s="269"/>
      <c r="E7" s="269"/>
      <c r="F7" s="269"/>
      <c r="G7" s="269"/>
      <c r="H7" s="270"/>
      <c r="I7" s="270"/>
      <c r="J7" s="269"/>
      <c r="K7" s="269"/>
      <c r="L7" s="269"/>
      <c r="M7" s="271"/>
    </row>
    <row r="8" spans="1:34" s="258" customFormat="1" ht="22.5" customHeight="1" x14ac:dyDescent="0.15">
      <c r="A8" s="263"/>
      <c r="B8" s="258" t="s">
        <v>901</v>
      </c>
      <c r="M8" s="259"/>
      <c r="N8" s="259"/>
      <c r="Q8" s="272"/>
    </row>
    <row r="9" spans="1:34" ht="24" customHeight="1" x14ac:dyDescent="0.15">
      <c r="A9" s="267"/>
      <c r="B9" s="1889" t="s">
        <v>902</v>
      </c>
      <c r="C9" s="1889"/>
      <c r="D9" s="1889"/>
      <c r="E9" s="1889"/>
      <c r="F9" s="1890" t="s">
        <v>903</v>
      </c>
      <c r="G9" s="1890"/>
      <c r="H9" s="1890" t="s">
        <v>904</v>
      </c>
      <c r="I9" s="1890"/>
      <c r="J9" s="1890"/>
      <c r="K9" s="1890"/>
      <c r="L9" s="1892" t="s">
        <v>905</v>
      </c>
      <c r="M9" s="1893"/>
    </row>
    <row r="10" spans="1:34" ht="49.5" customHeight="1" thickBot="1" x14ac:dyDescent="0.2">
      <c r="A10" s="267"/>
      <c r="B10" s="1864"/>
      <c r="C10" s="1864"/>
      <c r="D10" s="1864"/>
      <c r="E10" s="1864"/>
      <c r="F10" s="1891"/>
      <c r="G10" s="1891"/>
      <c r="H10" s="1894" t="s">
        <v>906</v>
      </c>
      <c r="I10" s="1894"/>
      <c r="J10" s="1894" t="s">
        <v>907</v>
      </c>
      <c r="K10" s="1894"/>
      <c r="L10" s="274" t="s">
        <v>908</v>
      </c>
      <c r="M10" s="275" t="s">
        <v>909</v>
      </c>
    </row>
    <row r="11" spans="1:34" ht="24" customHeight="1" thickTop="1" x14ac:dyDescent="0.15">
      <c r="A11" s="267"/>
      <c r="B11" s="1899" t="str">
        <f>"（自協定）"&amp;はじめに!D5</f>
        <v>（自協定）真庭集落協定</v>
      </c>
      <c r="C11" s="1899" t="s">
        <v>910</v>
      </c>
      <c r="D11" s="1899" t="s">
        <v>910</v>
      </c>
      <c r="E11" s="1899" t="s">
        <v>910</v>
      </c>
      <c r="F11" s="1900">
        <f>別紙１④!$C$63/100</f>
        <v>105.35</v>
      </c>
      <c r="G11" s="1900"/>
      <c r="H11" s="1901"/>
      <c r="I11" s="1901"/>
      <c r="J11" s="1901"/>
      <c r="K11" s="1901"/>
      <c r="L11" s="276"/>
      <c r="M11" s="276"/>
    </row>
    <row r="12" spans="1:34" ht="24" customHeight="1" x14ac:dyDescent="0.15">
      <c r="A12" s="267"/>
      <c r="B12" s="1895" t="s">
        <v>911</v>
      </c>
      <c r="C12" s="1895"/>
      <c r="D12" s="1895"/>
      <c r="E12" s="1895"/>
      <c r="F12" s="1896">
        <v>13.7</v>
      </c>
      <c r="G12" s="1896"/>
      <c r="H12" s="1884" t="s">
        <v>1043</v>
      </c>
      <c r="I12" s="1884"/>
      <c r="J12" s="1884" t="s">
        <v>67</v>
      </c>
      <c r="K12" s="1884"/>
      <c r="L12" s="923" t="s">
        <v>1043</v>
      </c>
      <c r="M12" s="924"/>
    </row>
    <row r="13" spans="1:34" ht="24" customHeight="1" x14ac:dyDescent="0.15">
      <c r="A13" s="267"/>
      <c r="B13" s="1895" t="s">
        <v>912</v>
      </c>
      <c r="C13" s="1895"/>
      <c r="D13" s="1895"/>
      <c r="E13" s="1895"/>
      <c r="F13" s="1896">
        <v>3.2</v>
      </c>
      <c r="G13" s="1896"/>
      <c r="H13" s="1884" t="s">
        <v>1043</v>
      </c>
      <c r="I13" s="1884"/>
      <c r="J13" s="1884" t="s">
        <v>67</v>
      </c>
      <c r="K13" s="1884"/>
      <c r="L13" s="924"/>
      <c r="M13" s="923" t="s">
        <v>1043</v>
      </c>
    </row>
    <row r="14" spans="1:34" ht="24" customHeight="1" x14ac:dyDescent="0.15">
      <c r="A14" s="267"/>
      <c r="B14" s="1895"/>
      <c r="C14" s="1895"/>
      <c r="D14" s="1895"/>
      <c r="E14" s="1895"/>
      <c r="F14" s="1896"/>
      <c r="G14" s="1896"/>
      <c r="H14" s="1884" t="s">
        <v>67</v>
      </c>
      <c r="I14" s="1884"/>
      <c r="J14" s="1884" t="s">
        <v>67</v>
      </c>
      <c r="K14" s="1884"/>
      <c r="L14" s="924"/>
      <c r="M14" s="923"/>
    </row>
    <row r="15" spans="1:34" ht="24" customHeight="1" x14ac:dyDescent="0.15">
      <c r="A15" s="267"/>
      <c r="B15" s="1871" t="s">
        <v>913</v>
      </c>
      <c r="C15" s="1871" t="s">
        <v>913</v>
      </c>
      <c r="D15" s="1871" t="s">
        <v>913</v>
      </c>
      <c r="E15" s="1871" t="s">
        <v>913</v>
      </c>
      <c r="F15" s="1897">
        <f>SUM(F11:G14)</f>
        <v>122.25</v>
      </c>
      <c r="G15" s="1897"/>
      <c r="H15" s="1898"/>
      <c r="I15" s="1898"/>
      <c r="J15" s="1898"/>
      <c r="K15" s="1898"/>
      <c r="L15" s="277"/>
      <c r="M15" s="277"/>
    </row>
    <row r="16" spans="1:34" ht="27.6" customHeight="1" x14ac:dyDescent="0.15">
      <c r="A16" s="267"/>
      <c r="B16" s="1885" t="s">
        <v>914</v>
      </c>
      <c r="C16" s="1885"/>
      <c r="D16" s="1885"/>
      <c r="E16" s="1885"/>
      <c r="F16" s="1885"/>
      <c r="G16" s="1885"/>
      <c r="H16" s="1885"/>
      <c r="I16" s="1885"/>
      <c r="J16" s="1885"/>
      <c r="K16" s="1885"/>
      <c r="L16" s="1885"/>
      <c r="M16" s="1885"/>
      <c r="N16" s="1885"/>
      <c r="O16" s="261"/>
      <c r="P16" s="261"/>
      <c r="Q16" s="261"/>
      <c r="R16" s="261"/>
      <c r="S16" s="261"/>
      <c r="T16" s="261"/>
      <c r="U16" s="261"/>
      <c r="V16" s="261"/>
      <c r="W16" s="261"/>
      <c r="X16" s="261"/>
      <c r="Y16" s="261"/>
      <c r="Z16" s="261"/>
      <c r="AA16" s="261"/>
      <c r="AB16" s="261"/>
      <c r="AC16" s="261"/>
      <c r="AD16" s="261"/>
      <c r="AE16" s="261"/>
      <c r="AF16" s="261"/>
      <c r="AG16" s="261"/>
      <c r="AH16" s="261"/>
    </row>
    <row r="17" spans="1:34" ht="20.100000000000001" customHeight="1" x14ac:dyDescent="0.15">
      <c r="A17" s="267"/>
      <c r="B17" s="273"/>
      <c r="C17" s="273"/>
      <c r="D17" s="273"/>
      <c r="E17" s="273"/>
      <c r="F17" s="273"/>
      <c r="G17" s="273"/>
      <c r="H17" s="273"/>
      <c r="I17" s="273"/>
      <c r="J17" s="273"/>
      <c r="K17" s="273"/>
      <c r="L17" s="273"/>
      <c r="M17" s="273"/>
      <c r="N17" s="273"/>
      <c r="O17" s="261"/>
      <c r="P17" s="261"/>
      <c r="Q17" s="261"/>
      <c r="R17" s="261"/>
      <c r="S17" s="261"/>
      <c r="T17" s="261"/>
      <c r="U17" s="261"/>
      <c r="V17" s="261"/>
      <c r="W17" s="261"/>
      <c r="X17" s="261"/>
      <c r="Y17" s="261"/>
      <c r="Z17" s="261"/>
      <c r="AA17" s="261"/>
      <c r="AB17" s="261"/>
      <c r="AC17" s="261"/>
      <c r="AD17" s="261"/>
      <c r="AE17" s="261"/>
      <c r="AF17" s="261"/>
      <c r="AG17" s="261"/>
      <c r="AH17" s="261"/>
    </row>
    <row r="18" spans="1:34" s="258" customFormat="1" ht="22.5" customHeight="1" x14ac:dyDescent="0.15">
      <c r="A18" s="263"/>
      <c r="B18" s="258" t="s">
        <v>915</v>
      </c>
      <c r="M18" s="259"/>
      <c r="N18" s="259"/>
      <c r="Q18" s="272"/>
    </row>
    <row r="19" spans="1:34" ht="24" customHeight="1" thickBot="1" x14ac:dyDescent="0.2">
      <c r="A19" s="267"/>
      <c r="B19" s="1864" t="s">
        <v>916</v>
      </c>
      <c r="C19" s="1864"/>
      <c r="D19" s="1891"/>
      <c r="E19" s="1891"/>
      <c r="F19" s="1891"/>
      <c r="G19" s="1891"/>
      <c r="H19" s="1891" t="s">
        <v>916</v>
      </c>
      <c r="I19" s="1891"/>
      <c r="J19" s="1891"/>
      <c r="K19" s="1891"/>
      <c r="L19" s="1891"/>
      <c r="M19" s="1891"/>
    </row>
    <row r="20" spans="1:34" ht="23.85" customHeight="1" thickTop="1" x14ac:dyDescent="0.15">
      <c r="A20" s="267"/>
      <c r="B20" s="1884" t="s">
        <v>67</v>
      </c>
      <c r="C20" s="1884"/>
      <c r="D20" s="1902" t="s">
        <v>917</v>
      </c>
      <c r="E20" s="1902"/>
      <c r="F20" s="1902"/>
      <c r="G20" s="1902"/>
      <c r="H20" s="1884" t="s">
        <v>67</v>
      </c>
      <c r="I20" s="1884"/>
      <c r="J20" s="1903" t="s">
        <v>918</v>
      </c>
      <c r="K20" s="1903"/>
      <c r="L20" s="1903"/>
      <c r="M20" s="1903"/>
    </row>
    <row r="21" spans="1:34" ht="24" customHeight="1" x14ac:dyDescent="0.15">
      <c r="A21" s="267"/>
      <c r="B21" s="1884" t="s">
        <v>1043</v>
      </c>
      <c r="C21" s="1884"/>
      <c r="D21" s="1904" t="s">
        <v>919</v>
      </c>
      <c r="E21" s="1904"/>
      <c r="F21" s="1904"/>
      <c r="G21" s="1904"/>
      <c r="H21" s="1884" t="s">
        <v>1043</v>
      </c>
      <c r="I21" s="1884"/>
      <c r="J21" s="1905" t="s">
        <v>920</v>
      </c>
      <c r="K21" s="1905"/>
      <c r="L21" s="1905"/>
      <c r="M21" s="1905"/>
    </row>
    <row r="22" spans="1:34" ht="24" customHeight="1" x14ac:dyDescent="0.15">
      <c r="A22" s="267"/>
      <c r="B22" s="1884" t="s">
        <v>67</v>
      </c>
      <c r="C22" s="1884"/>
      <c r="D22" s="1904" t="s">
        <v>921</v>
      </c>
      <c r="E22" s="1904"/>
      <c r="F22" s="1904"/>
      <c r="G22" s="1904"/>
      <c r="H22" s="1880" t="s">
        <v>67</v>
      </c>
      <c r="I22" s="1881"/>
      <c r="J22" s="929" t="s">
        <v>2167</v>
      </c>
      <c r="K22" s="930"/>
      <c r="L22" s="930"/>
      <c r="M22" s="931"/>
    </row>
    <row r="23" spans="1:34" ht="24" customHeight="1" x14ac:dyDescent="0.15">
      <c r="A23" s="267"/>
      <c r="B23" s="1884" t="s">
        <v>1043</v>
      </c>
      <c r="C23" s="1884"/>
      <c r="D23" s="1904" t="s">
        <v>922</v>
      </c>
      <c r="E23" s="1904"/>
      <c r="F23" s="1904"/>
      <c r="G23" s="1904"/>
      <c r="H23" s="1882"/>
      <c r="I23" s="1883"/>
      <c r="J23" s="1906"/>
      <c r="K23" s="1907"/>
      <c r="L23" s="1907"/>
      <c r="M23" s="1908"/>
    </row>
    <row r="24" spans="1:34" ht="108.4" customHeight="1" x14ac:dyDescent="0.15">
      <c r="A24" s="267"/>
      <c r="B24" s="1909" t="s">
        <v>923</v>
      </c>
      <c r="C24" s="1909"/>
      <c r="D24" s="1909"/>
      <c r="E24" s="1909"/>
      <c r="F24" s="1909"/>
      <c r="G24" s="1909"/>
      <c r="H24" s="1909"/>
      <c r="I24" s="1909"/>
      <c r="J24" s="1909"/>
      <c r="K24" s="1909"/>
      <c r="L24" s="1909"/>
      <c r="M24" s="1909"/>
    </row>
    <row r="25" spans="1:34" ht="40.15" customHeight="1" x14ac:dyDescent="0.15">
      <c r="A25" s="267"/>
      <c r="B25" s="1885" t="s">
        <v>924</v>
      </c>
      <c r="C25" s="1885"/>
      <c r="D25" s="1885"/>
      <c r="E25" s="1885"/>
      <c r="F25" s="1885"/>
      <c r="G25" s="1885"/>
      <c r="H25" s="1885"/>
      <c r="I25" s="1885"/>
      <c r="J25" s="1885"/>
      <c r="K25" s="1885"/>
      <c r="L25" s="1885"/>
      <c r="M25" s="1885"/>
      <c r="N25" s="261"/>
      <c r="O25" s="261"/>
      <c r="P25" s="261"/>
      <c r="Q25" s="261"/>
      <c r="R25" s="261"/>
      <c r="S25" s="261"/>
      <c r="T25" s="261"/>
      <c r="U25" s="261"/>
      <c r="V25" s="261"/>
      <c r="W25" s="261"/>
      <c r="X25" s="261"/>
      <c r="Y25" s="261"/>
      <c r="Z25" s="261"/>
      <c r="AA25" s="261"/>
      <c r="AB25" s="261"/>
      <c r="AC25" s="261"/>
      <c r="AD25" s="261"/>
      <c r="AE25" s="261"/>
      <c r="AF25" s="261"/>
      <c r="AG25" s="261"/>
      <c r="AH25" s="261"/>
    </row>
    <row r="26" spans="1:34" ht="20.100000000000001" customHeight="1" x14ac:dyDescent="0.15">
      <c r="A26" s="267"/>
      <c r="B26" s="273"/>
      <c r="C26" s="273"/>
      <c r="D26" s="273"/>
      <c r="E26" s="273"/>
      <c r="F26" s="273"/>
      <c r="G26" s="273"/>
      <c r="H26" s="273"/>
      <c r="I26" s="273"/>
      <c r="J26" s="273"/>
      <c r="K26" s="273"/>
      <c r="L26" s="273"/>
      <c r="M26" s="273"/>
      <c r="N26" s="273"/>
      <c r="O26" s="261"/>
      <c r="P26" s="261"/>
      <c r="Q26" s="261"/>
      <c r="R26" s="261"/>
      <c r="S26" s="261"/>
      <c r="T26" s="261"/>
      <c r="U26" s="261"/>
      <c r="V26" s="261"/>
      <c r="W26" s="261"/>
      <c r="X26" s="261"/>
      <c r="Y26" s="261"/>
      <c r="Z26" s="261"/>
      <c r="AA26" s="261"/>
      <c r="AB26" s="261"/>
      <c r="AC26" s="261"/>
      <c r="AD26" s="261"/>
      <c r="AE26" s="261"/>
      <c r="AF26" s="261"/>
      <c r="AG26" s="261"/>
      <c r="AH26" s="261"/>
    </row>
    <row r="27" spans="1:34" s="258" customFormat="1" ht="22.5" customHeight="1" x14ac:dyDescent="0.15">
      <c r="A27" s="263"/>
      <c r="B27" s="258" t="s">
        <v>925</v>
      </c>
      <c r="M27" s="259"/>
      <c r="N27" s="259"/>
      <c r="Q27" s="272"/>
    </row>
    <row r="28" spans="1:34" ht="24" customHeight="1" thickBot="1" x14ac:dyDescent="0.2">
      <c r="A28" s="267"/>
      <c r="B28" s="1864" t="s">
        <v>916</v>
      </c>
      <c r="C28" s="1864"/>
      <c r="D28" s="1891" t="s">
        <v>926</v>
      </c>
      <c r="E28" s="1891"/>
      <c r="F28" s="1891"/>
      <c r="G28" s="1891"/>
      <c r="H28" s="1891" t="s">
        <v>916</v>
      </c>
      <c r="I28" s="1891"/>
      <c r="J28" s="1891" t="s">
        <v>926</v>
      </c>
      <c r="K28" s="1891"/>
      <c r="L28" s="1891"/>
    </row>
    <row r="29" spans="1:34" ht="24" customHeight="1" thickTop="1" x14ac:dyDescent="0.15">
      <c r="A29" s="267"/>
      <c r="B29" s="1880" t="s">
        <v>1043</v>
      </c>
      <c r="C29" s="1881"/>
      <c r="D29" s="1902" t="s">
        <v>927</v>
      </c>
      <c r="E29" s="1902"/>
      <c r="F29" s="1902"/>
      <c r="G29" s="1902"/>
      <c r="H29" s="1884" t="s">
        <v>1043</v>
      </c>
      <c r="I29" s="1884"/>
      <c r="J29" s="1903" t="s">
        <v>928</v>
      </c>
      <c r="K29" s="1903"/>
      <c r="L29" s="1903"/>
    </row>
    <row r="30" spans="1:34" ht="23.85" customHeight="1" x14ac:dyDescent="0.15">
      <c r="A30" s="267"/>
      <c r="B30" s="1882"/>
      <c r="C30" s="1883"/>
      <c r="D30" s="1904"/>
      <c r="E30" s="1904"/>
      <c r="F30" s="1904"/>
      <c r="G30" s="1904"/>
      <c r="H30" s="1884" t="s">
        <v>1043</v>
      </c>
      <c r="I30" s="1884"/>
      <c r="J30" s="1905" t="s">
        <v>929</v>
      </c>
      <c r="K30" s="1905"/>
      <c r="L30" s="1905"/>
    </row>
    <row r="31" spans="1:34" ht="39.4" customHeight="1" x14ac:dyDescent="0.15">
      <c r="A31" s="267"/>
      <c r="B31" s="1884" t="s">
        <v>67</v>
      </c>
      <c r="C31" s="1884"/>
      <c r="D31" s="1904" t="s">
        <v>930</v>
      </c>
      <c r="E31" s="1904"/>
      <c r="F31" s="1904"/>
      <c r="G31" s="1904"/>
      <c r="H31" s="1884" t="s">
        <v>1043</v>
      </c>
      <c r="I31" s="1884"/>
      <c r="J31" s="1905" t="s">
        <v>931</v>
      </c>
      <c r="K31" s="1905"/>
      <c r="L31" s="1905"/>
    </row>
    <row r="32" spans="1:34" ht="24" customHeight="1" x14ac:dyDescent="0.15">
      <c r="A32" s="267"/>
      <c r="B32" s="1884" t="s">
        <v>67</v>
      </c>
      <c r="C32" s="1884"/>
      <c r="D32" s="1904" t="s">
        <v>932</v>
      </c>
      <c r="E32" s="1904"/>
      <c r="F32" s="1904"/>
      <c r="G32" s="1904"/>
      <c r="H32" s="1884" t="s">
        <v>67</v>
      </c>
      <c r="I32" s="1884"/>
      <c r="J32" s="1905" t="s">
        <v>933</v>
      </c>
      <c r="K32" s="1905"/>
      <c r="L32" s="1905"/>
    </row>
    <row r="33" spans="1:34" ht="24" customHeight="1" x14ac:dyDescent="0.15">
      <c r="A33" s="267"/>
      <c r="B33" s="1884" t="s">
        <v>67</v>
      </c>
      <c r="C33" s="1884"/>
      <c r="D33" s="1904" t="s">
        <v>934</v>
      </c>
      <c r="E33" s="1904"/>
      <c r="F33" s="1904"/>
      <c r="G33" s="1904"/>
      <c r="H33" s="1880" t="s">
        <v>67</v>
      </c>
      <c r="I33" s="1881"/>
      <c r="J33" s="928" t="s">
        <v>2166</v>
      </c>
      <c r="K33" s="928"/>
      <c r="L33" s="928"/>
    </row>
    <row r="34" spans="1:34" ht="24" customHeight="1" x14ac:dyDescent="0.15">
      <c r="A34" s="267"/>
      <c r="B34" s="1884" t="s">
        <v>1043</v>
      </c>
      <c r="C34" s="1884"/>
      <c r="D34" s="1904" t="s">
        <v>935</v>
      </c>
      <c r="E34" s="1904"/>
      <c r="F34" s="1904"/>
      <c r="G34" s="1904"/>
      <c r="H34" s="1882"/>
      <c r="I34" s="1883"/>
      <c r="J34" s="1906"/>
      <c r="K34" s="1907"/>
      <c r="L34" s="1908"/>
    </row>
    <row r="35" spans="1:34" ht="20.100000000000001" customHeight="1" x14ac:dyDescent="0.15">
      <c r="A35" s="267"/>
      <c r="B35" s="273"/>
      <c r="C35" s="273"/>
      <c r="D35" s="273"/>
      <c r="E35" s="273"/>
      <c r="F35" s="273"/>
      <c r="G35" s="273"/>
      <c r="H35" s="273"/>
      <c r="I35" s="273"/>
      <c r="J35" s="273"/>
      <c r="K35" s="273"/>
      <c r="L35" s="273"/>
      <c r="M35" s="273"/>
      <c r="N35" s="273"/>
      <c r="O35" s="261"/>
      <c r="P35" s="261"/>
      <c r="Q35" s="261"/>
      <c r="R35" s="261"/>
      <c r="S35" s="261"/>
      <c r="T35" s="261"/>
      <c r="U35" s="261"/>
      <c r="V35" s="261"/>
      <c r="W35" s="261"/>
      <c r="X35" s="261"/>
      <c r="Y35" s="261"/>
      <c r="Z35" s="261"/>
      <c r="AA35" s="261"/>
      <c r="AB35" s="261"/>
      <c r="AC35" s="261"/>
      <c r="AD35" s="261"/>
      <c r="AE35" s="261"/>
      <c r="AF35" s="261"/>
      <c r="AG35" s="261"/>
      <c r="AH35" s="261"/>
    </row>
    <row r="36" spans="1:34" s="258" customFormat="1" ht="22.5" customHeight="1" x14ac:dyDescent="0.15">
      <c r="A36" s="263"/>
      <c r="B36" s="258" t="s">
        <v>936</v>
      </c>
      <c r="M36" s="259"/>
      <c r="N36" s="259"/>
      <c r="Q36" s="272"/>
    </row>
    <row r="37" spans="1:34" ht="24" customHeight="1" thickBot="1" x14ac:dyDescent="0.2">
      <c r="A37" s="267"/>
      <c r="B37" s="1864" t="s">
        <v>916</v>
      </c>
      <c r="C37" s="1864"/>
      <c r="D37" s="1891" t="s">
        <v>937</v>
      </c>
      <c r="E37" s="1891"/>
      <c r="F37" s="1891"/>
      <c r="G37" s="1891" t="s">
        <v>916</v>
      </c>
      <c r="H37" s="1891"/>
      <c r="I37" s="1911" t="s">
        <v>937</v>
      </c>
      <c r="J37" s="1912"/>
      <c r="K37" s="1912"/>
      <c r="L37" s="1913"/>
    </row>
    <row r="38" spans="1:34" ht="24" customHeight="1" thickTop="1" x14ac:dyDescent="0.15">
      <c r="A38" s="267"/>
      <c r="B38" s="1884" t="s">
        <v>1043</v>
      </c>
      <c r="C38" s="1884"/>
      <c r="D38" s="1902" t="s">
        <v>938</v>
      </c>
      <c r="E38" s="1902"/>
      <c r="F38" s="1902"/>
      <c r="G38" s="1884" t="s">
        <v>67</v>
      </c>
      <c r="H38" s="1884"/>
      <c r="I38" s="1914" t="s">
        <v>939</v>
      </c>
      <c r="J38" s="1915"/>
      <c r="K38" s="1915"/>
      <c r="L38" s="1916"/>
    </row>
    <row r="39" spans="1:34" ht="23.85" customHeight="1" x14ac:dyDescent="0.15">
      <c r="A39" s="267"/>
      <c r="B39" s="1884" t="s">
        <v>1043</v>
      </c>
      <c r="C39" s="1884"/>
      <c r="D39" s="1904" t="s">
        <v>940</v>
      </c>
      <c r="E39" s="1904"/>
      <c r="F39" s="1904"/>
      <c r="G39" s="1884" t="s">
        <v>67</v>
      </c>
      <c r="H39" s="1884"/>
      <c r="I39" s="773" t="s">
        <v>2168</v>
      </c>
      <c r="J39" s="1917"/>
      <c r="K39" s="1917"/>
      <c r="L39" s="774" t="s">
        <v>2169</v>
      </c>
    </row>
    <row r="40" spans="1:34" ht="92.65" customHeight="1" x14ac:dyDescent="0.15">
      <c r="A40" s="267"/>
      <c r="B40" s="1910" t="s">
        <v>941</v>
      </c>
      <c r="C40" s="1910"/>
      <c r="D40" s="1910"/>
      <c r="E40" s="1910"/>
      <c r="F40" s="1910"/>
      <c r="G40" s="1910"/>
      <c r="H40" s="1910"/>
      <c r="I40" s="1910"/>
      <c r="J40" s="1910"/>
      <c r="K40" s="1910"/>
      <c r="L40" s="261"/>
      <c r="M40" s="261"/>
      <c r="N40" s="261"/>
    </row>
    <row r="41" spans="1:34" ht="20.100000000000001" customHeight="1" x14ac:dyDescent="0.15">
      <c r="A41" s="267"/>
      <c r="B41" s="273"/>
      <c r="C41" s="273"/>
      <c r="D41" s="273"/>
      <c r="E41" s="273"/>
      <c r="F41" s="273"/>
      <c r="G41" s="273"/>
      <c r="H41" s="273"/>
      <c r="I41" s="273"/>
      <c r="J41" s="273"/>
      <c r="K41" s="273"/>
      <c r="L41" s="273"/>
      <c r="M41" s="273"/>
      <c r="N41" s="273"/>
    </row>
    <row r="42" spans="1:34" s="258" customFormat="1" ht="22.5" customHeight="1" x14ac:dyDescent="0.15">
      <c r="A42" s="263"/>
      <c r="B42" s="258" t="s">
        <v>942</v>
      </c>
      <c r="M42" s="259"/>
      <c r="N42" s="259"/>
      <c r="Q42" s="272"/>
    </row>
    <row r="43" spans="1:34" ht="24" customHeight="1" x14ac:dyDescent="0.15">
      <c r="A43" s="267"/>
      <c r="B43" s="1871" t="s">
        <v>943</v>
      </c>
      <c r="C43" s="1871"/>
      <c r="D43" s="1871"/>
      <c r="E43" s="1871"/>
      <c r="F43" s="1871"/>
      <c r="G43" s="1871"/>
      <c r="H43" s="1871"/>
      <c r="I43" s="1871"/>
      <c r="J43" s="1871"/>
      <c r="K43" s="1871"/>
      <c r="L43" s="1871"/>
      <c r="M43" s="1871"/>
      <c r="N43" s="1871"/>
    </row>
    <row r="44" spans="1:34" ht="24" customHeight="1" x14ac:dyDescent="0.15">
      <c r="A44" s="267"/>
      <c r="B44" s="1904" t="s">
        <v>874</v>
      </c>
      <c r="C44" s="1904"/>
      <c r="D44" s="1904"/>
      <c r="E44" s="1904"/>
      <c r="F44" s="1904"/>
      <c r="G44" s="1904"/>
      <c r="H44" s="278" t="s">
        <v>944</v>
      </c>
      <c r="I44" s="278" t="s">
        <v>945</v>
      </c>
      <c r="J44" s="278" t="s">
        <v>946</v>
      </c>
      <c r="K44" s="278" t="s">
        <v>947</v>
      </c>
      <c r="L44" s="278" t="s">
        <v>948</v>
      </c>
      <c r="M44" s="278" t="s">
        <v>949</v>
      </c>
      <c r="N44" s="278" t="s">
        <v>950</v>
      </c>
    </row>
    <row r="45" spans="1:34" ht="23.85" customHeight="1" x14ac:dyDescent="0.15">
      <c r="A45" s="267"/>
      <c r="B45" s="1871" t="s">
        <v>951</v>
      </c>
      <c r="C45" s="1871"/>
      <c r="D45" s="1871"/>
      <c r="E45" s="1871"/>
      <c r="F45" s="1871"/>
      <c r="G45" s="1871"/>
      <c r="H45" s="923" t="s">
        <v>1043</v>
      </c>
      <c r="I45" s="923"/>
      <c r="J45" s="923"/>
      <c r="K45" s="923" t="s">
        <v>67</v>
      </c>
      <c r="L45" s="923" t="s">
        <v>67</v>
      </c>
      <c r="M45" s="923" t="s">
        <v>67</v>
      </c>
      <c r="N45" s="923" t="s">
        <v>67</v>
      </c>
    </row>
    <row r="46" spans="1:34" ht="24" customHeight="1" x14ac:dyDescent="0.15">
      <c r="A46" s="267"/>
      <c r="B46" s="1871" t="s">
        <v>952</v>
      </c>
      <c r="C46" s="1871"/>
      <c r="D46" s="1871"/>
      <c r="E46" s="1871"/>
      <c r="F46" s="1871"/>
      <c r="G46" s="1871"/>
      <c r="H46" s="923" t="s">
        <v>1043</v>
      </c>
      <c r="I46" s="923"/>
      <c r="J46" s="923"/>
      <c r="K46" s="923" t="s">
        <v>67</v>
      </c>
      <c r="L46" s="923" t="s">
        <v>67</v>
      </c>
      <c r="M46" s="923" t="s">
        <v>67</v>
      </c>
      <c r="N46" s="923" t="s">
        <v>67</v>
      </c>
    </row>
    <row r="47" spans="1:34" ht="15" customHeight="1" x14ac:dyDescent="0.15">
      <c r="A47" s="267"/>
      <c r="B47" s="1928" t="s">
        <v>953</v>
      </c>
      <c r="C47" s="1929"/>
      <c r="D47" s="1929"/>
      <c r="E47" s="1929"/>
      <c r="F47" s="1929"/>
      <c r="G47" s="1930"/>
      <c r="H47" s="925"/>
      <c r="I47" s="925" t="s">
        <v>2381</v>
      </c>
      <c r="J47" s="925" t="s">
        <v>2392</v>
      </c>
      <c r="K47" s="925"/>
      <c r="L47" s="925" t="s">
        <v>1047</v>
      </c>
      <c r="M47" s="925"/>
      <c r="N47" s="925"/>
    </row>
    <row r="48" spans="1:34" ht="15" customHeight="1" x14ac:dyDescent="0.15">
      <c r="A48" s="267"/>
      <c r="B48" s="1931"/>
      <c r="C48" s="1932"/>
      <c r="D48" s="1932"/>
      <c r="E48" s="1932"/>
      <c r="F48" s="1932"/>
      <c r="G48" s="1933"/>
      <c r="H48" s="925"/>
      <c r="I48" s="925"/>
      <c r="J48" s="925"/>
      <c r="K48" s="925"/>
      <c r="L48" s="925"/>
      <c r="M48" s="925"/>
      <c r="N48" s="925"/>
    </row>
    <row r="49" spans="1:14" ht="15" customHeight="1" x14ac:dyDescent="0.15">
      <c r="A49" s="267"/>
      <c r="B49" s="1934"/>
      <c r="C49" s="1935"/>
      <c r="D49" s="1935"/>
      <c r="E49" s="1935"/>
      <c r="F49" s="1935"/>
      <c r="G49" s="1936"/>
      <c r="H49" s="925"/>
      <c r="I49" s="925" t="s">
        <v>1047</v>
      </c>
      <c r="J49" s="925"/>
      <c r="K49" s="925"/>
      <c r="L49" s="925"/>
      <c r="M49" s="925"/>
      <c r="N49" s="925"/>
    </row>
    <row r="50" spans="1:14" ht="24" customHeight="1" x14ac:dyDescent="0.15">
      <c r="A50" s="267"/>
      <c r="B50" s="1871" t="s">
        <v>954</v>
      </c>
      <c r="C50" s="1871"/>
      <c r="D50" s="1871"/>
      <c r="E50" s="1871"/>
      <c r="F50" s="1871"/>
      <c r="G50" s="1871"/>
      <c r="H50" s="923" t="s">
        <v>67</v>
      </c>
      <c r="I50" s="923" t="s">
        <v>67</v>
      </c>
      <c r="J50" s="923"/>
      <c r="K50" s="923" t="s">
        <v>67</v>
      </c>
      <c r="L50" s="923" t="s">
        <v>67</v>
      </c>
      <c r="M50" s="923" t="s">
        <v>67</v>
      </c>
      <c r="N50" s="923" t="s">
        <v>67</v>
      </c>
    </row>
    <row r="51" spans="1:14" ht="24" customHeight="1" x14ac:dyDescent="0.15">
      <c r="A51" s="267"/>
      <c r="B51" s="1871" t="s">
        <v>955</v>
      </c>
      <c r="C51" s="1871"/>
      <c r="D51" s="1871"/>
      <c r="E51" s="1871"/>
      <c r="F51" s="1871"/>
      <c r="G51" s="1871"/>
      <c r="H51" s="279"/>
      <c r="I51" s="923" t="s">
        <v>1043</v>
      </c>
      <c r="J51" s="923" t="s">
        <v>1043</v>
      </c>
      <c r="K51" s="923" t="s">
        <v>1043</v>
      </c>
      <c r="L51" s="923" t="s">
        <v>1043</v>
      </c>
      <c r="M51" s="923" t="s">
        <v>1043</v>
      </c>
      <c r="N51" s="279"/>
    </row>
    <row r="52" spans="1:14" ht="22.5" customHeight="1" x14ac:dyDescent="0.15">
      <c r="A52" s="267"/>
      <c r="B52" s="1918" t="s">
        <v>956</v>
      </c>
      <c r="C52" s="1919"/>
      <c r="D52" s="1919"/>
      <c r="E52" s="1919"/>
      <c r="F52" s="1919"/>
      <c r="G52" s="1919"/>
      <c r="H52" s="1919"/>
      <c r="I52" s="1919"/>
      <c r="J52" s="1919"/>
      <c r="K52" s="1919"/>
      <c r="L52" s="1919"/>
      <c r="M52" s="1919"/>
      <c r="N52" s="1920"/>
    </row>
    <row r="53" spans="1:14" ht="22.5" customHeight="1" x14ac:dyDescent="0.15">
      <c r="A53" s="267"/>
      <c r="B53" s="1921"/>
      <c r="C53" s="1922"/>
      <c r="D53" s="1922"/>
      <c r="E53" s="1922"/>
      <c r="F53" s="1922"/>
      <c r="G53" s="1922"/>
      <c r="H53" s="1922"/>
      <c r="I53" s="1922"/>
      <c r="J53" s="1922"/>
      <c r="K53" s="1922"/>
      <c r="L53" s="1922"/>
      <c r="M53" s="1922"/>
      <c r="N53" s="1923"/>
    </row>
    <row r="54" spans="1:14" ht="22.5" customHeight="1" x14ac:dyDescent="0.15">
      <c r="A54" s="267"/>
      <c r="B54" s="1921"/>
      <c r="C54" s="1922"/>
      <c r="D54" s="1922"/>
      <c r="E54" s="1922"/>
      <c r="F54" s="1922"/>
      <c r="G54" s="1922"/>
      <c r="H54" s="1922"/>
      <c r="I54" s="1922"/>
      <c r="J54" s="1922"/>
      <c r="K54" s="1922"/>
      <c r="L54" s="1922"/>
      <c r="M54" s="1922"/>
      <c r="N54" s="1923"/>
    </row>
    <row r="55" spans="1:14" ht="22.5" customHeight="1" x14ac:dyDescent="0.15">
      <c r="A55" s="267"/>
      <c r="B55" s="1921"/>
      <c r="C55" s="1922"/>
      <c r="D55" s="1922"/>
      <c r="E55" s="1922"/>
      <c r="F55" s="1922"/>
      <c r="G55" s="1922"/>
      <c r="H55" s="1922"/>
      <c r="I55" s="1922"/>
      <c r="J55" s="1922"/>
      <c r="K55" s="1922"/>
      <c r="L55" s="1922"/>
      <c r="M55" s="1922"/>
      <c r="N55" s="1923"/>
    </row>
    <row r="56" spans="1:14" ht="22.5" customHeight="1" x14ac:dyDescent="0.15">
      <c r="A56" s="267"/>
      <c r="B56" s="1921"/>
      <c r="C56" s="1922"/>
      <c r="D56" s="1922"/>
      <c r="E56" s="1922"/>
      <c r="F56" s="1922"/>
      <c r="G56" s="1922"/>
      <c r="H56" s="1922"/>
      <c r="I56" s="1922"/>
      <c r="J56" s="1922"/>
      <c r="K56" s="1922"/>
      <c r="L56" s="1922"/>
      <c r="M56" s="1922"/>
      <c r="N56" s="1923"/>
    </row>
    <row r="57" spans="1:14" ht="22.5" customHeight="1" x14ac:dyDescent="0.15">
      <c r="A57" s="267"/>
      <c r="B57" s="1921"/>
      <c r="C57" s="1922"/>
      <c r="D57" s="1922"/>
      <c r="E57" s="1922"/>
      <c r="F57" s="1922"/>
      <c r="G57" s="1922"/>
      <c r="H57" s="1922"/>
      <c r="I57" s="1922"/>
      <c r="J57" s="1922"/>
      <c r="K57" s="1922"/>
      <c r="L57" s="1922"/>
      <c r="M57" s="1922"/>
      <c r="N57" s="1923"/>
    </row>
    <row r="58" spans="1:14" ht="22.5" customHeight="1" x14ac:dyDescent="0.15">
      <c r="B58" s="1921"/>
      <c r="C58" s="1922"/>
      <c r="D58" s="1922"/>
      <c r="E58" s="1922"/>
      <c r="F58" s="1922"/>
      <c r="G58" s="1922"/>
      <c r="H58" s="1922"/>
      <c r="I58" s="1922"/>
      <c r="J58" s="1922"/>
      <c r="K58" s="1922"/>
      <c r="L58" s="1922"/>
      <c r="M58" s="1922"/>
      <c r="N58" s="1923"/>
    </row>
    <row r="59" spans="1:14" s="281" customFormat="1" ht="22.5" customHeight="1" x14ac:dyDescent="0.15">
      <c r="A59" s="280"/>
      <c r="B59" s="1921"/>
      <c r="C59" s="1922"/>
      <c r="D59" s="1922"/>
      <c r="E59" s="1922"/>
      <c r="F59" s="1922"/>
      <c r="G59" s="1922"/>
      <c r="H59" s="1922"/>
      <c r="I59" s="1922"/>
      <c r="J59" s="1922"/>
      <c r="K59" s="1922"/>
      <c r="L59" s="1922"/>
      <c r="M59" s="1922"/>
      <c r="N59" s="1923"/>
    </row>
    <row r="60" spans="1:14" ht="22.5" customHeight="1" x14ac:dyDescent="0.15">
      <c r="B60" s="1924"/>
      <c r="C60" s="1925"/>
      <c r="D60" s="1925"/>
      <c r="E60" s="1925"/>
      <c r="F60" s="1925"/>
      <c r="G60" s="1925"/>
      <c r="H60" s="1925"/>
      <c r="I60" s="1925"/>
      <c r="J60" s="1925"/>
      <c r="K60" s="1925"/>
      <c r="L60" s="1925"/>
      <c r="M60" s="1925"/>
      <c r="N60" s="1926"/>
    </row>
    <row r="61" spans="1:14" ht="31.5" customHeight="1" x14ac:dyDescent="0.15">
      <c r="A61" s="280"/>
      <c r="B61" s="1927" t="s">
        <v>2329</v>
      </c>
      <c r="C61" s="1927"/>
      <c r="D61" s="1927"/>
      <c r="E61" s="1927"/>
      <c r="F61" s="1927"/>
      <c r="G61" s="1927"/>
      <c r="H61" s="1927"/>
      <c r="I61" s="1927"/>
      <c r="J61" s="1927"/>
      <c r="K61" s="1927"/>
      <c r="L61" s="1927"/>
      <c r="M61" s="1927"/>
      <c r="N61" s="1927"/>
    </row>
    <row r="62" spans="1:14" ht="20.100000000000001" customHeight="1" x14ac:dyDescent="0.15"/>
    <row r="63" spans="1:14" s="258" customFormat="1" ht="22.5" customHeight="1" x14ac:dyDescent="0.15">
      <c r="A63" s="263"/>
      <c r="B63" s="258" t="s">
        <v>957</v>
      </c>
      <c r="M63" s="272"/>
    </row>
    <row r="64" spans="1:14" ht="24" customHeight="1" thickBot="1" x14ac:dyDescent="0.2">
      <c r="A64" s="267"/>
      <c r="B64" s="1864" t="s">
        <v>916</v>
      </c>
      <c r="C64" s="1864"/>
      <c r="D64" s="1864" t="s">
        <v>958</v>
      </c>
      <c r="E64" s="1864"/>
      <c r="F64" s="1864"/>
      <c r="G64" s="1864"/>
      <c r="H64" s="1864"/>
      <c r="I64" s="1864"/>
      <c r="J64" s="1864"/>
      <c r="K64" s="1864"/>
    </row>
    <row r="65" spans="1:11" ht="23.1" customHeight="1" thickTop="1" x14ac:dyDescent="0.15">
      <c r="A65" s="267"/>
      <c r="B65" s="1884" t="s">
        <v>67</v>
      </c>
      <c r="C65" s="1884"/>
      <c r="D65" s="1903" t="s">
        <v>959</v>
      </c>
      <c r="E65" s="1903"/>
      <c r="F65" s="1903"/>
      <c r="G65" s="1903"/>
      <c r="H65" s="1903"/>
      <c r="I65" s="1903"/>
      <c r="J65" s="1903"/>
      <c r="K65" s="1903"/>
    </row>
    <row r="66" spans="1:11" ht="23.1" customHeight="1" x14ac:dyDescent="0.15">
      <c r="A66" s="267"/>
      <c r="B66" s="1884" t="s">
        <v>1043</v>
      </c>
      <c r="C66" s="1884"/>
      <c r="D66" s="1905" t="s">
        <v>960</v>
      </c>
      <c r="E66" s="1905"/>
      <c r="F66" s="1905"/>
      <c r="G66" s="1905"/>
      <c r="H66" s="1905"/>
      <c r="I66" s="1905"/>
      <c r="J66" s="1905"/>
      <c r="K66" s="1905"/>
    </row>
    <row r="67" spans="1:11" ht="23.1" customHeight="1" x14ac:dyDescent="0.15">
      <c r="A67" s="267"/>
      <c r="B67" s="1884" t="s">
        <v>67</v>
      </c>
      <c r="C67" s="1884"/>
      <c r="D67" s="1905" t="s">
        <v>961</v>
      </c>
      <c r="E67" s="1905"/>
      <c r="F67" s="1905"/>
      <c r="G67" s="1905"/>
      <c r="H67" s="1905"/>
      <c r="I67" s="1905"/>
      <c r="J67" s="1905"/>
      <c r="K67" s="1905"/>
    </row>
    <row r="68" spans="1:11" ht="23.1" customHeight="1" x14ac:dyDescent="0.15">
      <c r="B68" s="1884" t="s">
        <v>67</v>
      </c>
      <c r="C68" s="1884"/>
      <c r="D68" s="1905" t="s">
        <v>962</v>
      </c>
      <c r="E68" s="1905"/>
      <c r="F68" s="1905"/>
      <c r="G68" s="1905"/>
      <c r="H68" s="1905"/>
      <c r="I68" s="1905"/>
      <c r="J68" s="1905"/>
      <c r="K68" s="1905"/>
    </row>
    <row r="69" spans="1:11" ht="23.1" customHeight="1" x14ac:dyDescent="0.15">
      <c r="B69" s="1884" t="s">
        <v>67</v>
      </c>
      <c r="C69" s="1884"/>
      <c r="D69" s="1905" t="s">
        <v>963</v>
      </c>
      <c r="E69" s="1905"/>
      <c r="F69" s="1905"/>
      <c r="G69" s="1905"/>
      <c r="H69" s="1905"/>
      <c r="I69" s="1905"/>
      <c r="J69" s="1905"/>
      <c r="K69" s="1905"/>
    </row>
    <row r="70" spans="1:11" ht="23.1" customHeight="1" x14ac:dyDescent="0.15">
      <c r="B70" s="1884" t="s">
        <v>67</v>
      </c>
      <c r="C70" s="1884"/>
      <c r="D70" s="775" t="s">
        <v>2170</v>
      </c>
      <c r="E70" s="773"/>
      <c r="F70" s="1917"/>
      <c r="G70" s="1917"/>
      <c r="H70" s="1917"/>
      <c r="I70" s="1917"/>
      <c r="J70" s="1917"/>
      <c r="K70" s="774" t="s">
        <v>2171</v>
      </c>
    </row>
    <row r="71" spans="1:11" ht="20.100000000000001" customHeight="1" x14ac:dyDescent="0.15"/>
  </sheetData>
  <mergeCells count="109">
    <mergeCell ref="B69:C69"/>
    <mergeCell ref="D69:K69"/>
    <mergeCell ref="B70:C70"/>
    <mergeCell ref="B66:C66"/>
    <mergeCell ref="D66:K66"/>
    <mergeCell ref="B67:C67"/>
    <mergeCell ref="D67:K67"/>
    <mergeCell ref="B68:C68"/>
    <mergeCell ref="D68:K68"/>
    <mergeCell ref="F70:J70"/>
    <mergeCell ref="B52:N60"/>
    <mergeCell ref="B61:N61"/>
    <mergeCell ref="B64:C64"/>
    <mergeCell ref="D64:K64"/>
    <mergeCell ref="B65:C65"/>
    <mergeCell ref="D65:K65"/>
    <mergeCell ref="B44:G44"/>
    <mergeCell ref="B45:G45"/>
    <mergeCell ref="B46:G46"/>
    <mergeCell ref="B50:G50"/>
    <mergeCell ref="B51:G51"/>
    <mergeCell ref="B47:G49"/>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29:C30"/>
    <mergeCell ref="D29:G30"/>
    <mergeCell ref="H29:I29"/>
    <mergeCell ref="J29:L29"/>
    <mergeCell ref="H30:I30"/>
    <mergeCell ref="J30:L30"/>
    <mergeCell ref="B24:M24"/>
    <mergeCell ref="B25:M25"/>
    <mergeCell ref="B28:C28"/>
    <mergeCell ref="D28:G28"/>
    <mergeCell ref="H28:I28"/>
    <mergeCell ref="J28:L28"/>
    <mergeCell ref="B21:C21"/>
    <mergeCell ref="D21:G21"/>
    <mergeCell ref="H21:I21"/>
    <mergeCell ref="J21:M21"/>
    <mergeCell ref="B22:C22"/>
    <mergeCell ref="D22:G22"/>
    <mergeCell ref="H22:I23"/>
    <mergeCell ref="B23:C23"/>
    <mergeCell ref="D23:G23"/>
    <mergeCell ref="J23:M23"/>
    <mergeCell ref="B16:N16"/>
    <mergeCell ref="B19:C19"/>
    <mergeCell ref="D19:G19"/>
    <mergeCell ref="H19:I19"/>
    <mergeCell ref="J19:M19"/>
    <mergeCell ref="B20:C20"/>
    <mergeCell ref="D20:G20"/>
    <mergeCell ref="H20:I20"/>
    <mergeCell ref="J20:M20"/>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s>
  <phoneticPr fontId="3"/>
  <dataValidations count="2">
    <dataValidation type="list" allowBlank="1" showInputMessage="1" showErrorMessage="1" prompt="該当する場合「○」を記載" sqref="B65:C70 B20:C23 H20:I23 B29:C34 H29:I34 B38:C39 G38:H39 H45:N46 H50:I50 H12:M14 N50 I51 J50:M51">
      <formula1>"　,○,"</formula1>
    </dataValidation>
    <dataValidation type="list" allowBlank="1"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H58"/>
  <sheetViews>
    <sheetView tabSelected="1" view="pageBreakPreview" topLeftCell="A46" zoomScaleNormal="100" zoomScaleSheetLayoutView="100" workbookViewId="0">
      <selection activeCell="S8" sqref="S8"/>
    </sheetView>
  </sheetViews>
  <sheetFormatPr defaultColWidth="4.125" defaultRowHeight="18" customHeight="1" x14ac:dyDescent="0.15"/>
  <cols>
    <col min="1" max="1" width="1.875" style="260" customWidth="1"/>
    <col min="2" max="14" width="9.625" style="260" customWidth="1"/>
    <col min="15" max="15" width="2.625" style="260" customWidth="1"/>
    <col min="16" max="16" width="5.875" style="260" customWidth="1"/>
    <col min="17" max="122" width="4.625" style="260" customWidth="1"/>
    <col min="123" max="255" width="8.625" style="260" customWidth="1"/>
    <col min="256" max="16384" width="4.125" style="260"/>
  </cols>
  <sheetData>
    <row r="2" spans="1:34" ht="19.7" customHeight="1" x14ac:dyDescent="0.15">
      <c r="A2" s="263" t="s">
        <v>964</v>
      </c>
      <c r="B2" s="264"/>
      <c r="C2" s="264"/>
      <c r="D2" s="264"/>
      <c r="E2" s="264"/>
      <c r="F2" s="264"/>
      <c r="G2" s="264"/>
      <c r="H2" s="264"/>
      <c r="I2" s="264"/>
    </row>
    <row r="3" spans="1:34" ht="74.45" customHeight="1" x14ac:dyDescent="0.15">
      <c r="A3" s="267"/>
      <c r="B3" s="1885" t="s">
        <v>965</v>
      </c>
      <c r="C3" s="1885"/>
      <c r="D3" s="1885"/>
      <c r="E3" s="1885"/>
      <c r="F3" s="1885"/>
      <c r="G3" s="1885"/>
      <c r="H3" s="1885"/>
      <c r="I3" s="1885"/>
      <c r="J3" s="1885"/>
      <c r="K3" s="1885"/>
      <c r="L3" s="1885"/>
      <c r="M3" s="1885"/>
      <c r="N3" s="1885"/>
      <c r="O3" s="261"/>
      <c r="P3" s="261"/>
      <c r="Q3" s="261"/>
      <c r="R3" s="261"/>
      <c r="S3" s="261"/>
      <c r="T3" s="261"/>
      <c r="U3" s="261"/>
      <c r="V3" s="261"/>
      <c r="W3" s="261"/>
      <c r="X3" s="261"/>
      <c r="Y3" s="261"/>
      <c r="Z3" s="261"/>
      <c r="AA3" s="261"/>
      <c r="AB3" s="261"/>
      <c r="AC3" s="261"/>
      <c r="AD3" s="261"/>
      <c r="AE3" s="261"/>
      <c r="AF3" s="261"/>
      <c r="AG3" s="261"/>
      <c r="AH3" s="261"/>
    </row>
    <row r="4" spans="1:34" ht="20.100000000000001" customHeight="1" x14ac:dyDescent="0.15">
      <c r="A4" s="267"/>
      <c r="B4" s="268"/>
      <c r="C4" s="268"/>
      <c r="D4" s="269"/>
      <c r="E4" s="269"/>
      <c r="F4" s="269"/>
      <c r="G4" s="269"/>
      <c r="H4" s="270"/>
      <c r="I4" s="270"/>
      <c r="J4" s="269"/>
      <c r="K4" s="269"/>
      <c r="L4" s="269"/>
      <c r="M4" s="271"/>
    </row>
    <row r="5" spans="1:34" ht="20.25" customHeight="1" x14ac:dyDescent="0.15">
      <c r="A5" s="263"/>
      <c r="B5" s="258" t="s">
        <v>966</v>
      </c>
      <c r="C5" s="258"/>
      <c r="F5" s="265"/>
      <c r="G5" s="265"/>
      <c r="H5" s="266"/>
      <c r="I5" s="266"/>
    </row>
    <row r="6" spans="1:34" ht="30.75" customHeight="1" x14ac:dyDescent="0.15">
      <c r="A6" s="267"/>
      <c r="B6" s="1886" t="s">
        <v>967</v>
      </c>
      <c r="C6" s="1887"/>
      <c r="D6" s="1887"/>
      <c r="E6" s="1887"/>
      <c r="F6" s="1887"/>
      <c r="G6" s="1887"/>
      <c r="H6" s="1887"/>
      <c r="I6" s="1887"/>
      <c r="J6" s="1887"/>
      <c r="K6" s="1887"/>
      <c r="L6" s="1887"/>
      <c r="M6" s="1888"/>
    </row>
    <row r="7" spans="1:34" ht="20.100000000000001" customHeight="1" x14ac:dyDescent="0.15">
      <c r="A7" s="267"/>
      <c r="B7" s="268"/>
      <c r="C7" s="268"/>
      <c r="D7" s="269"/>
      <c r="E7" s="269"/>
      <c r="F7" s="269"/>
      <c r="G7" s="269"/>
      <c r="H7" s="270"/>
      <c r="I7" s="270"/>
      <c r="J7" s="269"/>
      <c r="K7" s="269"/>
      <c r="L7" s="269"/>
      <c r="M7" s="271"/>
    </row>
    <row r="8" spans="1:34" s="258" customFormat="1" ht="22.5" customHeight="1" x14ac:dyDescent="0.15">
      <c r="A8" s="263"/>
      <c r="B8" s="258" t="s">
        <v>968</v>
      </c>
      <c r="M8" s="259"/>
      <c r="N8" s="259"/>
      <c r="Q8" s="272"/>
    </row>
    <row r="9" spans="1:34" ht="24" customHeight="1" x14ac:dyDescent="0.15">
      <c r="A9" s="267"/>
      <c r="B9" s="1889" t="s">
        <v>902</v>
      </c>
      <c r="C9" s="1889"/>
      <c r="D9" s="1889"/>
      <c r="E9" s="1889"/>
      <c r="F9" s="1890" t="s">
        <v>903</v>
      </c>
      <c r="G9" s="1890"/>
      <c r="H9" s="1890" t="s">
        <v>904</v>
      </c>
      <c r="I9" s="1890"/>
      <c r="J9" s="1890"/>
      <c r="K9" s="1890"/>
    </row>
    <row r="10" spans="1:34" ht="49.5" customHeight="1" thickBot="1" x14ac:dyDescent="0.2">
      <c r="A10" s="267"/>
      <c r="B10" s="1864"/>
      <c r="C10" s="1864"/>
      <c r="D10" s="1864"/>
      <c r="E10" s="1864"/>
      <c r="F10" s="1891"/>
      <c r="G10" s="1891"/>
      <c r="H10" s="1894" t="s">
        <v>906</v>
      </c>
      <c r="I10" s="1894"/>
      <c r="J10" s="1894" t="s">
        <v>907</v>
      </c>
      <c r="K10" s="1894"/>
    </row>
    <row r="11" spans="1:34" ht="24" customHeight="1" thickTop="1" x14ac:dyDescent="0.15">
      <c r="A11" s="267"/>
      <c r="B11" s="1899" t="str">
        <f>"（自協定）"&amp;はじめに!D5</f>
        <v>（自協定）真庭集落協定</v>
      </c>
      <c r="C11" s="1899" t="s">
        <v>910</v>
      </c>
      <c r="D11" s="1899" t="s">
        <v>910</v>
      </c>
      <c r="E11" s="1899" t="s">
        <v>910</v>
      </c>
      <c r="F11" s="1939">
        <f>別紙１④!$C$63/100</f>
        <v>105.35</v>
      </c>
      <c r="G11" s="1939"/>
      <c r="H11" s="1901"/>
      <c r="I11" s="1901"/>
      <c r="J11" s="1901"/>
      <c r="K11" s="1901"/>
    </row>
    <row r="12" spans="1:34" ht="24" customHeight="1" x14ac:dyDescent="0.15">
      <c r="A12" s="267"/>
      <c r="B12" s="1895" t="s">
        <v>969</v>
      </c>
      <c r="C12" s="1895"/>
      <c r="D12" s="1895"/>
      <c r="E12" s="1895"/>
      <c r="F12" s="1937">
        <v>5.5</v>
      </c>
      <c r="G12" s="1937"/>
      <c r="H12" s="1884" t="s">
        <v>1043</v>
      </c>
      <c r="I12" s="1884"/>
      <c r="J12" s="1884" t="s">
        <v>67</v>
      </c>
      <c r="K12" s="1884"/>
    </row>
    <row r="13" spans="1:34" ht="24" customHeight="1" x14ac:dyDescent="0.15">
      <c r="A13" s="267"/>
      <c r="B13" s="1895" t="s">
        <v>970</v>
      </c>
      <c r="C13" s="1895"/>
      <c r="D13" s="1895"/>
      <c r="E13" s="1895"/>
      <c r="F13" s="1937">
        <v>8.6999999999999993</v>
      </c>
      <c r="G13" s="1937"/>
      <c r="H13" s="1884" t="s">
        <v>1043</v>
      </c>
      <c r="I13" s="1884"/>
      <c r="J13" s="1884" t="s">
        <v>67</v>
      </c>
      <c r="K13" s="1884"/>
    </row>
    <row r="14" spans="1:34" ht="24" customHeight="1" x14ac:dyDescent="0.15">
      <c r="A14" s="267"/>
      <c r="B14" s="1895"/>
      <c r="C14" s="1895"/>
      <c r="D14" s="1895"/>
      <c r="E14" s="1895"/>
      <c r="F14" s="1937"/>
      <c r="G14" s="1937"/>
      <c r="H14" s="1884"/>
      <c r="I14" s="1884"/>
      <c r="J14" s="1884" t="s">
        <v>67</v>
      </c>
      <c r="K14" s="1884"/>
    </row>
    <row r="15" spans="1:34" ht="24" customHeight="1" x14ac:dyDescent="0.15">
      <c r="A15" s="267"/>
      <c r="B15" s="1871" t="s">
        <v>913</v>
      </c>
      <c r="C15" s="1871" t="s">
        <v>913</v>
      </c>
      <c r="D15" s="1871" t="s">
        <v>913</v>
      </c>
      <c r="E15" s="1871" t="s">
        <v>913</v>
      </c>
      <c r="F15" s="1938">
        <f>SUM(F11:G14)</f>
        <v>119.55</v>
      </c>
      <c r="G15" s="1938"/>
      <c r="H15" s="1898"/>
      <c r="I15" s="1898"/>
      <c r="J15" s="1898"/>
      <c r="K15" s="1898"/>
    </row>
    <row r="16" spans="1:34" ht="51.4" customHeight="1" x14ac:dyDescent="0.15">
      <c r="A16" s="267"/>
      <c r="B16" s="1874" t="s">
        <v>971</v>
      </c>
      <c r="C16" s="1874"/>
      <c r="D16" s="1874"/>
      <c r="E16" s="1874"/>
      <c r="F16" s="1874"/>
      <c r="G16" s="1874"/>
      <c r="H16" s="1874"/>
      <c r="I16" s="1874"/>
      <c r="J16" s="1874"/>
      <c r="K16" s="1874"/>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row>
    <row r="17" spans="1:34" ht="20.100000000000001" customHeight="1" x14ac:dyDescent="0.15">
      <c r="A17" s="267"/>
      <c r="B17" s="273"/>
      <c r="C17" s="273"/>
      <c r="D17" s="273"/>
      <c r="E17" s="273"/>
      <c r="F17" s="273"/>
      <c r="G17" s="273"/>
      <c r="H17" s="273"/>
      <c r="I17" s="273"/>
      <c r="J17" s="273"/>
      <c r="K17" s="273"/>
      <c r="L17" s="273"/>
      <c r="M17" s="273"/>
      <c r="N17" s="273"/>
      <c r="O17" s="261"/>
      <c r="P17" s="261"/>
      <c r="Q17" s="261"/>
      <c r="R17" s="261"/>
      <c r="S17" s="261"/>
      <c r="T17" s="261"/>
      <c r="U17" s="261"/>
      <c r="V17" s="261"/>
      <c r="W17" s="261"/>
      <c r="X17" s="261"/>
      <c r="Y17" s="261"/>
      <c r="Z17" s="261"/>
      <c r="AA17" s="261"/>
      <c r="AB17" s="261"/>
      <c r="AC17" s="261"/>
      <c r="AD17" s="261"/>
      <c r="AE17" s="261"/>
      <c r="AF17" s="261"/>
      <c r="AG17" s="261"/>
      <c r="AH17" s="261"/>
    </row>
    <row r="18" spans="1:34" s="258" customFormat="1" ht="22.5" customHeight="1" x14ac:dyDescent="0.15">
      <c r="A18" s="263"/>
      <c r="B18" s="258" t="s">
        <v>972</v>
      </c>
      <c r="M18" s="259"/>
      <c r="N18" s="259"/>
      <c r="Q18" s="272"/>
    </row>
    <row r="19" spans="1:34" ht="24" customHeight="1" thickBot="1" x14ac:dyDescent="0.2">
      <c r="A19" s="267"/>
      <c r="B19" s="1864" t="s">
        <v>916</v>
      </c>
      <c r="C19" s="1864"/>
      <c r="D19" s="1891"/>
      <c r="E19" s="1891"/>
      <c r="F19" s="1891"/>
      <c r="G19" s="1891"/>
      <c r="H19" s="1891" t="s">
        <v>916</v>
      </c>
      <c r="I19" s="1891"/>
      <c r="J19" s="1891"/>
      <c r="K19" s="1891"/>
      <c r="L19" s="1891"/>
      <c r="M19" s="1891"/>
    </row>
    <row r="20" spans="1:34" ht="23.85" customHeight="1" thickTop="1" x14ac:dyDescent="0.15">
      <c r="A20" s="267"/>
      <c r="B20" s="1884" t="s">
        <v>67</v>
      </c>
      <c r="C20" s="1884"/>
      <c r="D20" s="1902" t="s">
        <v>917</v>
      </c>
      <c r="E20" s="1902"/>
      <c r="F20" s="1902"/>
      <c r="G20" s="1902"/>
      <c r="H20" s="1884" t="s">
        <v>67</v>
      </c>
      <c r="I20" s="1884"/>
      <c r="J20" s="1903" t="s">
        <v>918</v>
      </c>
      <c r="K20" s="1903"/>
      <c r="L20" s="1903"/>
      <c r="M20" s="1903"/>
    </row>
    <row r="21" spans="1:34" ht="24" customHeight="1" x14ac:dyDescent="0.15">
      <c r="A21" s="267"/>
      <c r="B21" s="1884" t="s">
        <v>1043</v>
      </c>
      <c r="C21" s="1884"/>
      <c r="D21" s="1904" t="s">
        <v>919</v>
      </c>
      <c r="E21" s="1904"/>
      <c r="F21" s="1904"/>
      <c r="G21" s="1904"/>
      <c r="H21" s="1884" t="s">
        <v>67</v>
      </c>
      <c r="I21" s="1884"/>
      <c r="J21" s="1905" t="s">
        <v>920</v>
      </c>
      <c r="K21" s="1905"/>
      <c r="L21" s="1905"/>
      <c r="M21" s="1905"/>
    </row>
    <row r="22" spans="1:34" ht="24" customHeight="1" x14ac:dyDescent="0.15">
      <c r="A22" s="267"/>
      <c r="B22" s="1884" t="s">
        <v>67</v>
      </c>
      <c r="C22" s="1884"/>
      <c r="D22" s="1904" t="s">
        <v>973</v>
      </c>
      <c r="E22" s="1904"/>
      <c r="F22" s="1904"/>
      <c r="G22" s="1904"/>
      <c r="H22" s="1880" t="s">
        <v>1043</v>
      </c>
      <c r="I22" s="1881"/>
      <c r="J22" s="1941" t="s">
        <v>2172</v>
      </c>
      <c r="K22" s="1942"/>
      <c r="L22" s="1942"/>
      <c r="M22" s="1943"/>
    </row>
    <row r="23" spans="1:34" ht="24" customHeight="1" x14ac:dyDescent="0.15">
      <c r="A23" s="267"/>
      <c r="B23" s="1884" t="s">
        <v>1043</v>
      </c>
      <c r="C23" s="1884"/>
      <c r="D23" s="1904" t="s">
        <v>922</v>
      </c>
      <c r="E23" s="1904"/>
      <c r="F23" s="1904"/>
      <c r="G23" s="1904"/>
      <c r="H23" s="1882"/>
      <c r="I23" s="1883"/>
      <c r="J23" s="1944" t="s">
        <v>2173</v>
      </c>
      <c r="K23" s="1945"/>
      <c r="L23" s="1945"/>
      <c r="M23" s="1946"/>
    </row>
    <row r="24" spans="1:34" ht="108.4" customHeight="1" x14ac:dyDescent="0.15">
      <c r="A24" s="267"/>
      <c r="B24" s="1940" t="s">
        <v>974</v>
      </c>
      <c r="C24" s="1940"/>
      <c r="D24" s="1940"/>
      <c r="E24" s="1940"/>
      <c r="F24" s="1940"/>
      <c r="G24" s="1940"/>
      <c r="H24" s="1940"/>
      <c r="I24" s="1940"/>
      <c r="J24" s="1940"/>
      <c r="K24" s="1940"/>
      <c r="L24" s="1940"/>
      <c r="M24" s="1940"/>
    </row>
    <row r="25" spans="1:34" ht="25.7" customHeight="1" x14ac:dyDescent="0.15">
      <c r="A25" s="267"/>
      <c r="B25" s="1874" t="s">
        <v>924</v>
      </c>
      <c r="C25" s="1874"/>
      <c r="D25" s="1874"/>
      <c r="E25" s="1874"/>
      <c r="F25" s="1874"/>
      <c r="G25" s="1874"/>
      <c r="H25" s="1874"/>
      <c r="I25" s="1874"/>
      <c r="J25" s="1874"/>
      <c r="K25" s="1874"/>
      <c r="L25" s="1874"/>
      <c r="M25" s="1874"/>
      <c r="N25" s="261"/>
      <c r="O25" s="261"/>
      <c r="P25" s="261"/>
      <c r="Q25" s="261"/>
      <c r="R25" s="261"/>
      <c r="S25" s="261"/>
      <c r="T25" s="261"/>
      <c r="U25" s="261"/>
      <c r="V25" s="261"/>
      <c r="W25" s="261"/>
      <c r="X25" s="261"/>
      <c r="Y25" s="261"/>
      <c r="Z25" s="261"/>
      <c r="AA25" s="261"/>
      <c r="AB25" s="261"/>
      <c r="AC25" s="261"/>
      <c r="AD25" s="261"/>
      <c r="AE25" s="261"/>
      <c r="AF25" s="261"/>
      <c r="AG25" s="261"/>
      <c r="AH25" s="261"/>
    </row>
    <row r="26" spans="1:34" ht="20.100000000000001" customHeight="1" x14ac:dyDescent="0.15">
      <c r="A26" s="267"/>
      <c r="B26" s="273"/>
      <c r="C26" s="273"/>
      <c r="D26" s="273"/>
      <c r="E26" s="273"/>
      <c r="F26" s="273"/>
      <c r="G26" s="273"/>
      <c r="H26" s="273"/>
      <c r="I26" s="273"/>
      <c r="J26" s="273"/>
      <c r="K26" s="273"/>
      <c r="L26" s="273"/>
      <c r="M26" s="273"/>
      <c r="N26" s="273"/>
      <c r="O26" s="261"/>
      <c r="P26" s="261"/>
      <c r="Q26" s="261"/>
      <c r="R26" s="261"/>
      <c r="S26" s="261"/>
      <c r="T26" s="261"/>
      <c r="U26" s="261"/>
      <c r="V26" s="261"/>
      <c r="W26" s="261"/>
      <c r="X26" s="261"/>
      <c r="Y26" s="261"/>
      <c r="Z26" s="261"/>
      <c r="AA26" s="261"/>
      <c r="AB26" s="261"/>
      <c r="AC26" s="261"/>
      <c r="AD26" s="261"/>
      <c r="AE26" s="261"/>
      <c r="AF26" s="261"/>
      <c r="AG26" s="261"/>
      <c r="AH26" s="261"/>
    </row>
    <row r="27" spans="1:34" s="258" customFormat="1" ht="22.5" customHeight="1" x14ac:dyDescent="0.15">
      <c r="A27" s="263"/>
      <c r="B27" s="258" t="s">
        <v>975</v>
      </c>
      <c r="M27" s="259"/>
      <c r="N27" s="259"/>
      <c r="Q27" s="272"/>
    </row>
    <row r="28" spans="1:34" ht="24" customHeight="1" thickBot="1" x14ac:dyDescent="0.2">
      <c r="A28" s="267"/>
      <c r="B28" s="1864" t="s">
        <v>916</v>
      </c>
      <c r="C28" s="1864"/>
      <c r="D28" s="1891" t="s">
        <v>976</v>
      </c>
      <c r="E28" s="1891"/>
      <c r="F28" s="1891"/>
      <c r="G28" s="1891"/>
      <c r="H28" s="1891" t="s">
        <v>916</v>
      </c>
      <c r="I28" s="1891"/>
      <c r="J28" s="1891" t="s">
        <v>976</v>
      </c>
      <c r="K28" s="1891"/>
      <c r="L28" s="1891"/>
      <c r="M28" s="1891"/>
    </row>
    <row r="29" spans="1:34" ht="24" customHeight="1" thickTop="1" x14ac:dyDescent="0.15">
      <c r="A29" s="267"/>
      <c r="B29" s="1875" t="s">
        <v>1043</v>
      </c>
      <c r="C29" s="1876"/>
      <c r="D29" s="1902" t="s">
        <v>977</v>
      </c>
      <c r="E29" s="1902"/>
      <c r="F29" s="1902"/>
      <c r="G29" s="1902"/>
      <c r="H29" s="1884" t="s">
        <v>67</v>
      </c>
      <c r="I29" s="1884"/>
      <c r="J29" s="1903" t="s">
        <v>978</v>
      </c>
      <c r="K29" s="1903"/>
      <c r="L29" s="1903"/>
      <c r="M29" s="1903"/>
    </row>
    <row r="30" spans="1:34" ht="23.85" customHeight="1" x14ac:dyDescent="0.15">
      <c r="A30" s="267"/>
      <c r="B30" s="1884" t="s">
        <v>67</v>
      </c>
      <c r="C30" s="1884"/>
      <c r="D30" s="1904" t="s">
        <v>979</v>
      </c>
      <c r="E30" s="1904"/>
      <c r="F30" s="1904"/>
      <c r="G30" s="1904"/>
      <c r="H30" s="1884" t="s">
        <v>67</v>
      </c>
      <c r="I30" s="1884"/>
      <c r="J30" s="1905" t="s">
        <v>980</v>
      </c>
      <c r="K30" s="1905"/>
      <c r="L30" s="1905"/>
      <c r="M30" s="1905"/>
    </row>
    <row r="31" spans="1:34" ht="23.85" customHeight="1" x14ac:dyDescent="0.15">
      <c r="A31" s="267"/>
      <c r="B31" s="1884" t="s">
        <v>1043</v>
      </c>
      <c r="C31" s="1884"/>
      <c r="D31" s="1904" t="s">
        <v>981</v>
      </c>
      <c r="E31" s="1904"/>
      <c r="F31" s="1904"/>
      <c r="G31" s="1904"/>
      <c r="H31" s="1884" t="s">
        <v>67</v>
      </c>
      <c r="I31" s="1884"/>
      <c r="J31" s="1905" t="s">
        <v>982</v>
      </c>
      <c r="K31" s="1905"/>
      <c r="L31" s="1905"/>
      <c r="M31" s="1905"/>
    </row>
    <row r="32" spans="1:34" ht="24" customHeight="1" x14ac:dyDescent="0.15">
      <c r="A32" s="267"/>
      <c r="B32" s="1884" t="s">
        <v>1043</v>
      </c>
      <c r="C32" s="1884"/>
      <c r="D32" s="1904" t="s">
        <v>983</v>
      </c>
      <c r="E32" s="1904"/>
      <c r="F32" s="1904"/>
      <c r="G32" s="1904"/>
      <c r="H32" s="1884" t="s">
        <v>1043</v>
      </c>
      <c r="I32" s="1884"/>
      <c r="J32" s="1905" t="s">
        <v>984</v>
      </c>
      <c r="K32" s="1905"/>
      <c r="L32" s="1905"/>
      <c r="M32" s="1905"/>
    </row>
    <row r="33" spans="1:34" ht="24" customHeight="1" x14ac:dyDescent="0.15">
      <c r="A33" s="267"/>
      <c r="B33" s="1884" t="s">
        <v>1043</v>
      </c>
      <c r="C33" s="1884"/>
      <c r="D33" s="1904" t="s">
        <v>985</v>
      </c>
      <c r="E33" s="1904"/>
      <c r="F33" s="1904"/>
      <c r="G33" s="1904"/>
      <c r="H33" s="1880" t="s">
        <v>1043</v>
      </c>
      <c r="I33" s="1881"/>
      <c r="J33" s="1947" t="s">
        <v>2176</v>
      </c>
      <c r="K33" s="1948"/>
      <c r="L33" s="1948"/>
      <c r="M33" s="1949"/>
    </row>
    <row r="34" spans="1:34" ht="24" customHeight="1" x14ac:dyDescent="0.15">
      <c r="A34" s="267"/>
      <c r="B34" s="1884" t="s">
        <v>67</v>
      </c>
      <c r="C34" s="1884"/>
      <c r="D34" s="1905" t="s">
        <v>986</v>
      </c>
      <c r="E34" s="1905"/>
      <c r="F34" s="1905"/>
      <c r="G34" s="1905"/>
      <c r="H34" s="1882"/>
      <c r="I34" s="1883"/>
      <c r="J34" s="1944" t="s">
        <v>2175</v>
      </c>
      <c r="K34" s="1945"/>
      <c r="L34" s="1945"/>
      <c r="M34" s="1946"/>
    </row>
    <row r="35" spans="1:34" ht="20.100000000000001" customHeight="1" x14ac:dyDescent="0.15">
      <c r="A35" s="267"/>
      <c r="B35" s="273"/>
      <c r="C35" s="273"/>
      <c r="D35" s="273"/>
      <c r="E35" s="273"/>
      <c r="F35" s="273"/>
      <c r="G35" s="273"/>
      <c r="H35" s="273"/>
      <c r="I35" s="273"/>
      <c r="J35" s="273"/>
      <c r="K35" s="273"/>
      <c r="L35" s="273"/>
      <c r="M35" s="273"/>
      <c r="N35" s="273"/>
      <c r="O35" s="261"/>
      <c r="P35" s="261"/>
      <c r="Q35" s="261"/>
      <c r="X35" s="261"/>
      <c r="Y35" s="261"/>
      <c r="Z35" s="261"/>
      <c r="AA35" s="261"/>
      <c r="AB35" s="261"/>
      <c r="AC35" s="261"/>
      <c r="AD35" s="261"/>
      <c r="AE35" s="261"/>
      <c r="AF35" s="261"/>
      <c r="AG35" s="261"/>
      <c r="AH35" s="261"/>
    </row>
    <row r="36" spans="1:34" s="258" customFormat="1" ht="22.5" customHeight="1" x14ac:dyDescent="0.15">
      <c r="A36" s="263"/>
      <c r="B36" s="258" t="s">
        <v>987</v>
      </c>
      <c r="M36" s="259"/>
      <c r="N36" s="259"/>
      <c r="Q36" s="272"/>
    </row>
    <row r="37" spans="1:34" ht="24" customHeight="1" x14ac:dyDescent="0.15">
      <c r="A37" s="267"/>
      <c r="B37" s="1871" t="s">
        <v>943</v>
      </c>
      <c r="C37" s="1871"/>
      <c r="D37" s="1871"/>
      <c r="E37" s="1871"/>
      <c r="F37" s="1871"/>
      <c r="G37" s="1871"/>
      <c r="H37" s="1871"/>
      <c r="I37" s="1871"/>
      <c r="J37" s="1871"/>
      <c r="K37" s="1871"/>
      <c r="L37" s="1871"/>
      <c r="M37" s="1871"/>
      <c r="N37" s="1871"/>
    </row>
    <row r="38" spans="1:34" ht="24" customHeight="1" x14ac:dyDescent="0.15">
      <c r="A38" s="267"/>
      <c r="B38" s="1904" t="s">
        <v>874</v>
      </c>
      <c r="C38" s="1904"/>
      <c r="D38" s="1904"/>
      <c r="E38" s="1904"/>
      <c r="F38" s="1904"/>
      <c r="G38" s="1904"/>
      <c r="H38" s="278" t="s">
        <v>944</v>
      </c>
      <c r="I38" s="278" t="s">
        <v>945</v>
      </c>
      <c r="J38" s="278" t="s">
        <v>946</v>
      </c>
      <c r="K38" s="278" t="s">
        <v>947</v>
      </c>
      <c r="L38" s="278" t="s">
        <v>948</v>
      </c>
      <c r="M38" s="278" t="s">
        <v>949</v>
      </c>
      <c r="N38" s="278" t="s">
        <v>950</v>
      </c>
    </row>
    <row r="39" spans="1:34" ht="23.85" customHeight="1" x14ac:dyDescent="0.15">
      <c r="A39" s="267"/>
      <c r="B39" s="1871" t="s">
        <v>988</v>
      </c>
      <c r="C39" s="1871"/>
      <c r="D39" s="1871"/>
      <c r="E39" s="1871"/>
      <c r="F39" s="1871"/>
      <c r="G39" s="1871"/>
      <c r="H39" s="923" t="s">
        <v>1043</v>
      </c>
      <c r="I39" s="923"/>
      <c r="J39" s="923"/>
      <c r="K39" s="923"/>
      <c r="L39" s="923"/>
      <c r="M39" s="923"/>
      <c r="N39" s="923" t="s">
        <v>67</v>
      </c>
    </row>
    <row r="40" spans="1:34" ht="24" customHeight="1" x14ac:dyDescent="0.15">
      <c r="A40" s="267"/>
      <c r="B40" s="1871" t="s">
        <v>989</v>
      </c>
      <c r="C40" s="1871"/>
      <c r="D40" s="1871"/>
      <c r="E40" s="1871"/>
      <c r="F40" s="1871"/>
      <c r="G40" s="1871"/>
      <c r="H40" s="923" t="s">
        <v>1043</v>
      </c>
      <c r="I40" s="923" t="s">
        <v>67</v>
      </c>
      <c r="J40" s="923"/>
      <c r="K40" s="923"/>
      <c r="L40" s="923"/>
      <c r="M40" s="923"/>
      <c r="N40" s="923" t="s">
        <v>67</v>
      </c>
    </row>
    <row r="41" spans="1:34" ht="36.4" customHeight="1" x14ac:dyDescent="0.15">
      <c r="A41" s="267"/>
      <c r="B41" s="1871" t="s">
        <v>990</v>
      </c>
      <c r="C41" s="1871"/>
      <c r="D41" s="1871"/>
      <c r="E41" s="1871"/>
      <c r="F41" s="1871"/>
      <c r="G41" s="1871"/>
      <c r="H41" s="923" t="s">
        <v>67</v>
      </c>
      <c r="I41" s="923" t="s">
        <v>1043</v>
      </c>
      <c r="J41" s="923"/>
      <c r="K41" s="923"/>
      <c r="L41" s="923"/>
      <c r="M41" s="923"/>
      <c r="N41" s="923" t="s">
        <v>67</v>
      </c>
    </row>
    <row r="42" spans="1:34" ht="24" customHeight="1" x14ac:dyDescent="0.15">
      <c r="A42" s="267"/>
      <c r="B42" s="1871" t="s">
        <v>991</v>
      </c>
      <c r="C42" s="1871"/>
      <c r="D42" s="1871"/>
      <c r="E42" s="1871"/>
      <c r="F42" s="1871"/>
      <c r="G42" s="1871"/>
      <c r="H42" s="282"/>
      <c r="I42" s="923" t="s">
        <v>1043</v>
      </c>
      <c r="J42" s="923" t="s">
        <v>1043</v>
      </c>
      <c r="K42" s="923" t="s">
        <v>1043</v>
      </c>
      <c r="L42" s="923" t="s">
        <v>1043</v>
      </c>
      <c r="M42" s="923" t="s">
        <v>1043</v>
      </c>
      <c r="N42" s="282"/>
    </row>
    <row r="43" spans="1:34" ht="239.25" customHeight="1" x14ac:dyDescent="0.15">
      <c r="A43" s="267"/>
      <c r="B43" s="1940" t="s">
        <v>992</v>
      </c>
      <c r="C43" s="1940"/>
      <c r="D43" s="1940"/>
      <c r="E43" s="1940"/>
      <c r="F43" s="1940"/>
      <c r="G43" s="1940"/>
      <c r="H43" s="1940"/>
      <c r="I43" s="1940"/>
      <c r="J43" s="1940"/>
      <c r="K43" s="1940"/>
      <c r="L43" s="1940"/>
      <c r="M43" s="1940"/>
      <c r="N43" s="1940"/>
    </row>
    <row r="44" spans="1:34" ht="20.100000000000001" customHeight="1" x14ac:dyDescent="0.15"/>
    <row r="45" spans="1:34" s="258" customFormat="1" ht="22.5" customHeight="1" x14ac:dyDescent="0.15">
      <c r="A45" s="263"/>
      <c r="B45" s="258" t="s">
        <v>993</v>
      </c>
      <c r="M45" s="272"/>
    </row>
    <row r="46" spans="1:34" ht="24" customHeight="1" thickBot="1" x14ac:dyDescent="0.2">
      <c r="A46" s="267"/>
      <c r="B46" s="1864" t="s">
        <v>994</v>
      </c>
      <c r="C46" s="1864"/>
      <c r="D46" s="1864" t="s">
        <v>995</v>
      </c>
      <c r="E46" s="1864"/>
      <c r="F46" s="1864"/>
      <c r="G46" s="1864" t="s">
        <v>996</v>
      </c>
      <c r="H46" s="1864"/>
      <c r="I46" s="1864"/>
      <c r="J46" s="1864" t="s">
        <v>997</v>
      </c>
      <c r="K46" s="1864"/>
      <c r="L46" s="1864"/>
    </row>
    <row r="47" spans="1:34" ht="23.1" customHeight="1" thickTop="1" x14ac:dyDescent="0.15">
      <c r="A47" s="267"/>
      <c r="B47" s="1902" t="s">
        <v>998</v>
      </c>
      <c r="C47" s="1902"/>
      <c r="D47" s="1950" t="str">
        <f>別紙１④!K11</f>
        <v>丙川　三郎</v>
      </c>
      <c r="E47" s="1950"/>
      <c r="F47" s="1950"/>
      <c r="G47" s="1951" t="s">
        <v>1001</v>
      </c>
      <c r="H47" s="1951"/>
      <c r="I47" s="1951"/>
      <c r="J47" s="319" t="s">
        <v>1066</v>
      </c>
      <c r="K47" s="926">
        <v>10</v>
      </c>
      <c r="L47" s="321" t="s">
        <v>70</v>
      </c>
    </row>
    <row r="48" spans="1:34" ht="23.1" customHeight="1" x14ac:dyDescent="0.15">
      <c r="A48" s="267"/>
      <c r="B48" s="1904" t="s">
        <v>1000</v>
      </c>
      <c r="C48" s="1904"/>
      <c r="D48" s="1950" t="str">
        <f>別紙１④!K12</f>
        <v>丙川　三郎</v>
      </c>
      <c r="E48" s="1950"/>
      <c r="F48" s="1950"/>
      <c r="G48" s="1872" t="s">
        <v>1002</v>
      </c>
      <c r="H48" s="1872"/>
      <c r="I48" s="1872"/>
      <c r="J48" s="320" t="s">
        <v>1066</v>
      </c>
      <c r="K48" s="927">
        <v>12</v>
      </c>
      <c r="L48" s="322" t="s">
        <v>70</v>
      </c>
    </row>
    <row r="49" spans="1:13" ht="23.1" customHeight="1" x14ac:dyDescent="0.15">
      <c r="A49" s="267"/>
      <c r="B49" s="1904" t="s">
        <v>1003</v>
      </c>
      <c r="C49" s="1904"/>
      <c r="D49" s="1950" t="str">
        <f>別紙１④!K13</f>
        <v>乙山　次郎</v>
      </c>
      <c r="E49" s="1950"/>
      <c r="F49" s="1950"/>
      <c r="G49" s="1872" t="s">
        <v>1005</v>
      </c>
      <c r="H49" s="1872"/>
      <c r="I49" s="1872"/>
      <c r="J49" s="320" t="s">
        <v>1066</v>
      </c>
      <c r="K49" s="927">
        <v>12</v>
      </c>
      <c r="L49" s="322" t="s">
        <v>70</v>
      </c>
    </row>
    <row r="50" spans="1:13" ht="23.1" customHeight="1" x14ac:dyDescent="0.15">
      <c r="B50" s="1904" t="s">
        <v>1006</v>
      </c>
      <c r="C50" s="1904"/>
      <c r="D50" s="1950" t="str">
        <f>別紙１④!K14</f>
        <v>乙山　次郎</v>
      </c>
      <c r="E50" s="1950"/>
      <c r="F50" s="1950"/>
      <c r="G50" s="1872" t="s">
        <v>1007</v>
      </c>
      <c r="H50" s="1872"/>
      <c r="I50" s="1872"/>
      <c r="J50" s="320" t="s">
        <v>1066</v>
      </c>
      <c r="K50" s="927">
        <v>10</v>
      </c>
      <c r="L50" s="322" t="s">
        <v>70</v>
      </c>
    </row>
    <row r="51" spans="1:13" ht="23.1" customHeight="1" x14ac:dyDescent="0.15">
      <c r="B51" s="1904" t="s">
        <v>1008</v>
      </c>
      <c r="C51" s="1904"/>
      <c r="D51" s="1950" t="str">
        <f>別紙１④!K15</f>
        <v>甲田　太郎</v>
      </c>
      <c r="E51" s="1950"/>
      <c r="F51" s="1950"/>
      <c r="G51" s="1872" t="s">
        <v>1002</v>
      </c>
      <c r="H51" s="1872"/>
      <c r="I51" s="1872"/>
      <c r="J51" s="320" t="s">
        <v>1066</v>
      </c>
      <c r="K51" s="927">
        <v>12</v>
      </c>
      <c r="L51" s="322" t="s">
        <v>70</v>
      </c>
    </row>
    <row r="52" spans="1:13" ht="23.1" customHeight="1" x14ac:dyDescent="0.15">
      <c r="B52" s="1904" t="s">
        <v>1009</v>
      </c>
      <c r="C52" s="1904"/>
      <c r="D52" s="1950" t="str">
        <f>別紙１④!K16</f>
        <v>丙川　三郎</v>
      </c>
      <c r="E52" s="1950"/>
      <c r="F52" s="1950"/>
      <c r="G52" s="1872" t="s">
        <v>1005</v>
      </c>
      <c r="H52" s="1872"/>
      <c r="I52" s="1872"/>
      <c r="J52" s="320" t="s">
        <v>1066</v>
      </c>
      <c r="K52" s="927">
        <v>10</v>
      </c>
      <c r="L52" s="322" t="s">
        <v>70</v>
      </c>
    </row>
    <row r="53" spans="1:13" ht="57" customHeight="1" x14ac:dyDescent="0.15">
      <c r="B53" s="1874" t="s">
        <v>1010</v>
      </c>
      <c r="C53" s="1874"/>
      <c r="D53" s="1874"/>
      <c r="E53" s="1874"/>
      <c r="F53" s="1874"/>
      <c r="G53" s="1874"/>
      <c r="H53" s="1874"/>
      <c r="I53" s="1874"/>
      <c r="J53" s="1874"/>
      <c r="K53" s="1874"/>
      <c r="L53" s="1874"/>
    </row>
    <row r="54" spans="1:13" ht="20.100000000000001" customHeight="1" x14ac:dyDescent="0.15"/>
    <row r="55" spans="1:13" s="258" customFormat="1" ht="22.5" customHeight="1" x14ac:dyDescent="0.15">
      <c r="A55" s="263"/>
      <c r="B55" s="258" t="s">
        <v>1011</v>
      </c>
      <c r="M55" s="272"/>
    </row>
    <row r="56" spans="1:13" ht="119.65" customHeight="1" x14ac:dyDescent="0.15">
      <c r="A56" s="267"/>
      <c r="B56" s="1918" t="s">
        <v>1012</v>
      </c>
      <c r="C56" s="1919"/>
      <c r="D56" s="1919"/>
      <c r="E56" s="1919"/>
      <c r="F56" s="1919"/>
      <c r="G56" s="1919"/>
      <c r="H56" s="1919"/>
      <c r="I56" s="1919"/>
      <c r="J56" s="1919"/>
      <c r="K56" s="1919"/>
      <c r="L56" s="1920"/>
    </row>
    <row r="57" spans="1:13" ht="238.5" customHeight="1" x14ac:dyDescent="0.15">
      <c r="A57" s="267"/>
      <c r="B57" s="1952" t="s">
        <v>1013</v>
      </c>
      <c r="C57" s="1953"/>
      <c r="D57" s="1953"/>
      <c r="E57" s="1953"/>
      <c r="F57" s="1953"/>
      <c r="G57" s="1953"/>
      <c r="H57" s="1953"/>
      <c r="I57" s="1953"/>
      <c r="J57" s="1953"/>
      <c r="K57" s="1953"/>
      <c r="L57" s="1954"/>
    </row>
    <row r="58" spans="1:13" ht="20.100000000000001" customHeight="1" x14ac:dyDescent="0.15"/>
  </sheetData>
  <mergeCells count="108">
    <mergeCell ref="B57:L57"/>
    <mergeCell ref="B52:C52"/>
    <mergeCell ref="D52:F52"/>
    <mergeCell ref="G52:I52"/>
    <mergeCell ref="B53:L53"/>
    <mergeCell ref="B56:L56"/>
    <mergeCell ref="B50:C50"/>
    <mergeCell ref="D50:F50"/>
    <mergeCell ref="G50:I50"/>
    <mergeCell ref="B51:C51"/>
    <mergeCell ref="D51:F51"/>
    <mergeCell ref="G51:I51"/>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37:N37"/>
    <mergeCell ref="B38:G38"/>
    <mergeCell ref="B39:G39"/>
    <mergeCell ref="B40:G40"/>
    <mergeCell ref="B41:G41"/>
    <mergeCell ref="B42:G42"/>
    <mergeCell ref="B33:C33"/>
    <mergeCell ref="D33:G33"/>
    <mergeCell ref="H33:I34"/>
    <mergeCell ref="B34:C34"/>
    <mergeCell ref="D34:G34"/>
    <mergeCell ref="J33:M33"/>
    <mergeCell ref="J34:M34"/>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16:K16"/>
    <mergeCell ref="B19:C19"/>
    <mergeCell ref="D19:G19"/>
    <mergeCell ref="H19:I19"/>
    <mergeCell ref="J19:M19"/>
    <mergeCell ref="B20:C20"/>
    <mergeCell ref="D20:G20"/>
    <mergeCell ref="H20:I20"/>
    <mergeCell ref="J20:M20"/>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H10:I10"/>
    <mergeCell ref="J10:K10"/>
    <mergeCell ref="B13:E13"/>
    <mergeCell ref="F13:G13"/>
    <mergeCell ref="H13:I13"/>
    <mergeCell ref="J13:K13"/>
  </mergeCells>
  <phoneticPr fontId="3"/>
  <dataValidations count="1">
    <dataValidation type="list" allowBlank="1" showInputMessage="1" showErrorMessage="1" prompt="該当する場合「○」を記載" sqref="H12:K14 B20:C23 H20:I23 C30:C34 B29:B34 H29:I34 H39:N41 I42:M42">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H45"/>
  <sheetViews>
    <sheetView tabSelected="1" view="pageBreakPreview" topLeftCell="A25" zoomScaleNormal="100" zoomScaleSheetLayoutView="100" workbookViewId="0">
      <selection activeCell="S8" sqref="S8"/>
    </sheetView>
  </sheetViews>
  <sheetFormatPr defaultColWidth="4.125" defaultRowHeight="18" customHeight="1" x14ac:dyDescent="0.15"/>
  <cols>
    <col min="1" max="1" width="1.875" style="260" customWidth="1"/>
    <col min="2" max="14" width="9.625" style="260" customWidth="1"/>
    <col min="15" max="15" width="2.625" style="260" customWidth="1"/>
    <col min="16" max="16" width="5.875" style="260" customWidth="1"/>
    <col min="17" max="122" width="4.625" style="260" customWidth="1"/>
    <col min="123" max="255" width="8.625" style="260" customWidth="1"/>
    <col min="256" max="16384" width="4.125" style="260"/>
  </cols>
  <sheetData>
    <row r="2" spans="1:34" ht="19.7" customHeight="1" x14ac:dyDescent="0.15">
      <c r="A2" s="263" t="s">
        <v>1014</v>
      </c>
      <c r="B2" s="264"/>
      <c r="C2" s="264"/>
      <c r="D2" s="264"/>
      <c r="E2" s="264"/>
      <c r="F2" s="264"/>
      <c r="G2" s="264"/>
      <c r="H2" s="264"/>
      <c r="I2" s="264"/>
    </row>
    <row r="3" spans="1:34" ht="23.25" customHeight="1" x14ac:dyDescent="0.15">
      <c r="A3" s="267"/>
      <c r="B3" s="1885" t="s">
        <v>1015</v>
      </c>
      <c r="C3" s="1885"/>
      <c r="D3" s="1885"/>
      <c r="E3" s="1885"/>
      <c r="F3" s="1885"/>
      <c r="G3" s="1885"/>
      <c r="H3" s="1885"/>
      <c r="I3" s="1885"/>
      <c r="J3" s="1885"/>
      <c r="K3" s="1885"/>
      <c r="L3" s="1885"/>
      <c r="M3" s="1885"/>
      <c r="N3" s="1885"/>
      <c r="O3" s="261"/>
      <c r="P3" s="261"/>
      <c r="Q3" s="261"/>
      <c r="R3" s="261"/>
      <c r="S3" s="261"/>
      <c r="T3" s="261"/>
      <c r="U3" s="261"/>
      <c r="V3" s="261"/>
      <c r="W3" s="261"/>
      <c r="X3" s="261"/>
      <c r="Y3" s="261"/>
      <c r="Z3" s="261"/>
      <c r="AA3" s="261"/>
      <c r="AB3" s="261"/>
      <c r="AC3" s="261"/>
      <c r="AD3" s="261"/>
      <c r="AE3" s="261"/>
      <c r="AF3" s="261"/>
      <c r="AG3" s="261"/>
      <c r="AH3" s="261"/>
    </row>
    <row r="4" spans="1:34" ht="20.100000000000001" customHeight="1" x14ac:dyDescent="0.15">
      <c r="A4" s="267"/>
      <c r="B4" s="268"/>
      <c r="C4" s="268"/>
      <c r="D4" s="269"/>
      <c r="E4" s="269"/>
      <c r="F4" s="269"/>
      <c r="G4" s="269"/>
      <c r="H4" s="270"/>
      <c r="I4" s="270"/>
      <c r="J4" s="269"/>
      <c r="K4" s="269"/>
      <c r="L4" s="269"/>
      <c r="M4" s="271"/>
    </row>
    <row r="5" spans="1:34" ht="20.25" customHeight="1" x14ac:dyDescent="0.15">
      <c r="A5" s="263"/>
      <c r="B5" s="258" t="s">
        <v>1016</v>
      </c>
      <c r="C5" s="258"/>
      <c r="F5" s="265"/>
      <c r="G5" s="265"/>
      <c r="H5" s="266"/>
      <c r="I5" s="266"/>
    </row>
    <row r="6" spans="1:34" ht="20.100000000000001" customHeight="1" x14ac:dyDescent="0.15">
      <c r="A6" s="267"/>
      <c r="B6" s="1932" t="s">
        <v>1017</v>
      </c>
      <c r="C6" s="1932"/>
      <c r="D6" s="1932"/>
      <c r="E6" s="1932"/>
      <c r="F6" s="1932"/>
      <c r="G6" s="1932"/>
      <c r="H6" s="270"/>
      <c r="I6" s="270"/>
      <c r="J6" s="269"/>
      <c r="K6" s="269"/>
      <c r="L6" s="269"/>
      <c r="M6" s="271"/>
    </row>
    <row r="7" spans="1:34" s="258" customFormat="1" ht="22.5" customHeight="1" x14ac:dyDescent="0.15">
      <c r="A7" s="263"/>
      <c r="B7" s="258" t="s">
        <v>1018</v>
      </c>
      <c r="M7" s="259"/>
      <c r="N7" s="259"/>
      <c r="Q7" s="272"/>
    </row>
    <row r="8" spans="1:34" ht="24" customHeight="1" thickBot="1" x14ac:dyDescent="0.2">
      <c r="A8" s="267"/>
      <c r="B8" s="1956" t="s">
        <v>1019</v>
      </c>
      <c r="C8" s="1956"/>
      <c r="D8" s="1956"/>
      <c r="E8" s="1956"/>
      <c r="F8" s="1957" t="s">
        <v>1020</v>
      </c>
      <c r="G8" s="1957"/>
      <c r="H8" s="1957"/>
      <c r="I8" s="1957"/>
      <c r="J8" s="1957"/>
      <c r="K8" s="1957"/>
    </row>
    <row r="9" spans="1:34" ht="25.15" customHeight="1" thickTop="1" x14ac:dyDescent="0.15">
      <c r="A9" s="267"/>
      <c r="B9" s="1958" t="s">
        <v>1021</v>
      </c>
      <c r="C9" s="1958"/>
      <c r="D9" s="1958"/>
      <c r="E9" s="1958"/>
      <c r="F9" s="1951" t="s">
        <v>2423</v>
      </c>
      <c r="G9" s="1951"/>
      <c r="H9" s="1951"/>
      <c r="I9" s="1951"/>
      <c r="J9" s="1951"/>
      <c r="K9" s="1951"/>
    </row>
    <row r="10" spans="1:34" ht="25.15" customHeight="1" x14ac:dyDescent="0.15">
      <c r="A10" s="267"/>
      <c r="B10" s="1959"/>
      <c r="C10" s="1959"/>
      <c r="D10" s="1959"/>
      <c r="E10" s="1959"/>
      <c r="F10" s="1872" t="s">
        <v>2424</v>
      </c>
      <c r="G10" s="1872"/>
      <c r="H10" s="1872"/>
      <c r="I10" s="1872"/>
      <c r="J10" s="1872"/>
      <c r="K10" s="1872"/>
    </row>
    <row r="11" spans="1:34" ht="25.15" customHeight="1" x14ac:dyDescent="0.15">
      <c r="A11" s="267"/>
      <c r="B11" s="1959"/>
      <c r="C11" s="1959"/>
      <c r="D11" s="1959"/>
      <c r="E11" s="1959"/>
      <c r="F11" s="1872" t="s">
        <v>2425</v>
      </c>
      <c r="G11" s="1872"/>
      <c r="H11" s="1872"/>
      <c r="I11" s="1872"/>
      <c r="J11" s="1872"/>
      <c r="K11" s="1872"/>
    </row>
    <row r="12" spans="1:34" ht="25.15" customHeight="1" x14ac:dyDescent="0.15">
      <c r="A12" s="267"/>
      <c r="B12" s="1959"/>
      <c r="C12" s="1959"/>
      <c r="D12" s="1959"/>
      <c r="E12" s="1959"/>
      <c r="F12" s="1872" t="s">
        <v>2426</v>
      </c>
      <c r="G12" s="1872"/>
      <c r="H12" s="1872"/>
      <c r="I12" s="1872"/>
      <c r="J12" s="1872"/>
      <c r="K12" s="1872"/>
    </row>
    <row r="13" spans="1:34" ht="25.15" customHeight="1" x14ac:dyDescent="0.15">
      <c r="A13" s="267"/>
      <c r="B13" s="1959" t="s">
        <v>1022</v>
      </c>
      <c r="C13" s="1959"/>
      <c r="D13" s="1959"/>
      <c r="E13" s="1959"/>
      <c r="F13" s="1872" t="s">
        <v>2427</v>
      </c>
      <c r="G13" s="1872"/>
      <c r="H13" s="1872"/>
      <c r="I13" s="1872"/>
      <c r="J13" s="1872"/>
      <c r="K13" s="1872"/>
    </row>
    <row r="14" spans="1:34" ht="25.15" customHeight="1" x14ac:dyDescent="0.15">
      <c r="A14" s="267"/>
      <c r="B14" s="1959"/>
      <c r="C14" s="1959"/>
      <c r="D14" s="1959"/>
      <c r="E14" s="1959"/>
      <c r="F14" s="1872" t="s">
        <v>2428</v>
      </c>
      <c r="G14" s="1872"/>
      <c r="H14" s="1872"/>
      <c r="I14" s="1872"/>
      <c r="J14" s="1872"/>
      <c r="K14" s="1872"/>
    </row>
    <row r="15" spans="1:34" ht="25.15" customHeight="1" x14ac:dyDescent="0.15">
      <c r="A15" s="267"/>
      <c r="B15" s="1959"/>
      <c r="C15" s="1959"/>
      <c r="D15" s="1959"/>
      <c r="E15" s="1959"/>
      <c r="F15" s="1872"/>
      <c r="G15" s="1872"/>
      <c r="H15" s="1872"/>
      <c r="I15" s="1872"/>
      <c r="J15" s="1872"/>
      <c r="K15" s="1872"/>
    </row>
    <row r="16" spans="1:34" ht="25.15" customHeight="1" x14ac:dyDescent="0.15">
      <c r="A16" s="267"/>
      <c r="B16" s="1959"/>
      <c r="C16" s="1959"/>
      <c r="D16" s="1959"/>
      <c r="E16" s="1959"/>
      <c r="F16" s="1872"/>
      <c r="G16" s="1872"/>
      <c r="H16" s="1872"/>
      <c r="I16" s="1872"/>
      <c r="J16" s="1872"/>
      <c r="K16" s="1872"/>
    </row>
    <row r="17" spans="1:34" ht="62.1" customHeight="1" x14ac:dyDescent="0.15">
      <c r="A17" s="267"/>
      <c r="B17" s="1955" t="s">
        <v>1023</v>
      </c>
      <c r="C17" s="1955"/>
      <c r="D17" s="1955"/>
      <c r="E17" s="1955"/>
      <c r="F17" s="1955"/>
      <c r="G17" s="1955"/>
      <c r="H17" s="1955"/>
      <c r="I17" s="1955"/>
      <c r="J17" s="1955"/>
      <c r="K17" s="1955"/>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row>
    <row r="18" spans="1:34" ht="20.100000000000001" customHeight="1" x14ac:dyDescent="0.15">
      <c r="A18" s="267"/>
      <c r="B18" s="273"/>
      <c r="C18" s="273"/>
      <c r="D18" s="273"/>
      <c r="E18" s="273"/>
      <c r="F18" s="273"/>
      <c r="G18" s="273"/>
      <c r="H18" s="273"/>
      <c r="I18" s="273"/>
      <c r="J18" s="273"/>
      <c r="K18" s="273"/>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row>
    <row r="19" spans="1:34" s="258" customFormat="1" ht="22.5" customHeight="1" x14ac:dyDescent="0.15">
      <c r="A19" s="263"/>
      <c r="B19" s="258" t="s">
        <v>1024</v>
      </c>
      <c r="M19" s="259"/>
      <c r="N19" s="259"/>
      <c r="Q19" s="272"/>
    </row>
    <row r="20" spans="1:34" ht="24" customHeight="1" thickBot="1" x14ac:dyDescent="0.2">
      <c r="A20" s="267"/>
      <c r="B20" s="1864" t="s">
        <v>1025</v>
      </c>
      <c r="C20" s="1864"/>
      <c r="D20" s="1864"/>
      <c r="E20" s="1864"/>
      <c r="F20" s="1864"/>
      <c r="G20" s="1891" t="s">
        <v>1026</v>
      </c>
      <c r="H20" s="1891"/>
      <c r="I20" s="1891"/>
      <c r="J20" s="1891"/>
    </row>
    <row r="21" spans="1:34" ht="25.15" customHeight="1" thickTop="1" x14ac:dyDescent="0.15">
      <c r="A21" s="267"/>
      <c r="B21" s="1879" t="s">
        <v>1021</v>
      </c>
      <c r="C21" s="1879"/>
      <c r="D21" s="1879"/>
      <c r="E21" s="1879"/>
      <c r="F21" s="1879"/>
      <c r="G21" s="1960">
        <f>COUNTIF(別紙１③!H7:H498,"L")</f>
        <v>2</v>
      </c>
      <c r="H21" s="1960"/>
      <c r="I21" s="1960"/>
      <c r="J21" s="1960"/>
    </row>
    <row r="22" spans="1:34" ht="25.15" customHeight="1" x14ac:dyDescent="0.15">
      <c r="A22" s="267"/>
      <c r="B22" s="1871" t="s">
        <v>1027</v>
      </c>
      <c r="C22" s="1871"/>
      <c r="D22" s="1871"/>
      <c r="E22" s="1871"/>
      <c r="F22" s="1871"/>
      <c r="G22" s="1961">
        <v>5</v>
      </c>
      <c r="H22" s="1961"/>
      <c r="I22" s="1961"/>
      <c r="J22" s="1961"/>
    </row>
    <row r="23" spans="1:34" ht="25.15" customHeight="1" x14ac:dyDescent="0.15">
      <c r="A23" s="267"/>
      <c r="B23" s="1871" t="s">
        <v>1028</v>
      </c>
      <c r="C23" s="1871"/>
      <c r="D23" s="1871"/>
      <c r="E23" s="1871"/>
      <c r="F23" s="1871"/>
      <c r="G23" s="1962">
        <f>SUM(G21:J22)</f>
        <v>7</v>
      </c>
      <c r="H23" s="1962"/>
      <c r="I23" s="1962"/>
      <c r="J23" s="1962"/>
    </row>
    <row r="24" spans="1:34" ht="23.25" customHeight="1" x14ac:dyDescent="0.15">
      <c r="A24" s="267"/>
      <c r="B24" s="281" t="s">
        <v>1050</v>
      </c>
      <c r="C24" s="281"/>
      <c r="D24" s="281"/>
      <c r="E24" s="281"/>
      <c r="F24" s="281"/>
      <c r="G24" s="281"/>
      <c r="H24" s="281"/>
      <c r="I24" s="281"/>
      <c r="J24" s="281"/>
      <c r="L24" s="285">
        <f>COUNTIF(別紙１③!H7:H498,"A")+COUNTIF(別紙１③!H7:H498,"B")+COUNTIF(別紙１③!H7:H498,"L")+G22</f>
        <v>16</v>
      </c>
    </row>
    <row r="25" spans="1:34" ht="22.5" customHeight="1" x14ac:dyDescent="0.15">
      <c r="A25" s="267"/>
      <c r="B25" s="281" t="s">
        <v>1048</v>
      </c>
      <c r="C25" s="284"/>
      <c r="D25" s="284"/>
      <c r="E25" s="286">
        <f>ROUNDDOWN((G23/L24)*100,0)</f>
        <v>43</v>
      </c>
      <c r="F25" s="287" t="s">
        <v>1054</v>
      </c>
      <c r="G25" s="281" t="s">
        <v>1049</v>
      </c>
      <c r="H25" s="283"/>
      <c r="I25" s="283"/>
      <c r="J25" s="283"/>
    </row>
    <row r="26" spans="1:34" ht="13.5" customHeight="1" x14ac:dyDescent="0.15">
      <c r="A26" s="267"/>
      <c r="B26" s="281"/>
      <c r="C26" s="284"/>
      <c r="D26" s="284"/>
      <c r="E26" s="284"/>
      <c r="F26" s="281"/>
      <c r="G26" s="281"/>
      <c r="H26" s="283"/>
      <c r="I26" s="283"/>
      <c r="J26" s="283"/>
    </row>
    <row r="27" spans="1:34" ht="102" customHeight="1" x14ac:dyDescent="0.15">
      <c r="A27" s="267"/>
      <c r="B27" s="1885" t="s">
        <v>1029</v>
      </c>
      <c r="C27" s="1885"/>
      <c r="D27" s="1885"/>
      <c r="E27" s="1885"/>
      <c r="F27" s="1885"/>
      <c r="G27" s="1885"/>
      <c r="H27" s="1885"/>
      <c r="I27" s="1885"/>
      <c r="J27" s="1885"/>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row>
    <row r="28" spans="1:34" ht="20.100000000000001" customHeight="1" x14ac:dyDescent="0.15">
      <c r="A28" s="267"/>
      <c r="B28" s="273"/>
      <c r="C28" s="273"/>
      <c r="D28" s="273"/>
      <c r="E28" s="273"/>
      <c r="F28" s="273"/>
      <c r="G28" s="273"/>
      <c r="H28" s="273"/>
      <c r="I28" s="273"/>
      <c r="J28" s="273"/>
      <c r="K28" s="273"/>
      <c r="L28" s="273"/>
      <c r="M28" s="273"/>
      <c r="N28" s="273"/>
      <c r="O28" s="261"/>
      <c r="P28" s="261"/>
      <c r="Q28" s="261"/>
      <c r="R28" s="261"/>
      <c r="S28" s="261"/>
      <c r="T28" s="261"/>
      <c r="U28" s="261"/>
      <c r="V28" s="261"/>
      <c r="W28" s="261"/>
      <c r="X28" s="261"/>
      <c r="Y28" s="261"/>
      <c r="Z28" s="261"/>
      <c r="AA28" s="261"/>
      <c r="AB28" s="261"/>
      <c r="AC28" s="261"/>
      <c r="AD28" s="261"/>
      <c r="AE28" s="261"/>
      <c r="AF28" s="261"/>
      <c r="AG28" s="261"/>
      <c r="AH28" s="261"/>
    </row>
    <row r="29" spans="1:34" s="258" customFormat="1" ht="22.5" customHeight="1" x14ac:dyDescent="0.15">
      <c r="A29" s="263"/>
      <c r="B29" s="258" t="s">
        <v>1030</v>
      </c>
      <c r="M29" s="259"/>
      <c r="N29" s="259"/>
      <c r="Q29" s="272"/>
    </row>
    <row r="30" spans="1:34" ht="24" customHeight="1" thickBot="1" x14ac:dyDescent="0.2">
      <c r="A30" s="267"/>
      <c r="B30" s="1864" t="s">
        <v>916</v>
      </c>
      <c r="C30" s="1864"/>
      <c r="D30" s="1891"/>
      <c r="E30" s="1891"/>
      <c r="F30" s="1891"/>
      <c r="G30" s="1891"/>
      <c r="H30" s="1891" t="s">
        <v>916</v>
      </c>
      <c r="I30" s="1891"/>
      <c r="J30" s="1891"/>
      <c r="K30" s="1891"/>
      <c r="L30" s="1891"/>
      <c r="M30" s="1891"/>
    </row>
    <row r="31" spans="1:34" ht="23.85" customHeight="1" thickTop="1" x14ac:dyDescent="0.15">
      <c r="A31" s="267"/>
      <c r="B31" s="1875" t="s">
        <v>1043</v>
      </c>
      <c r="C31" s="1876"/>
      <c r="D31" s="1902" t="s">
        <v>1031</v>
      </c>
      <c r="E31" s="1902"/>
      <c r="F31" s="1902"/>
      <c r="G31" s="1902"/>
      <c r="H31" s="1884" t="s">
        <v>67</v>
      </c>
      <c r="I31" s="1884"/>
      <c r="J31" s="1903" t="s">
        <v>1032</v>
      </c>
      <c r="K31" s="1903"/>
      <c r="L31" s="1903"/>
      <c r="M31" s="1903"/>
    </row>
    <row r="32" spans="1:34" ht="24" customHeight="1" x14ac:dyDescent="0.15">
      <c r="A32" s="267"/>
      <c r="B32" s="1884" t="s">
        <v>1043</v>
      </c>
      <c r="C32" s="1884"/>
      <c r="D32" s="1904" t="s">
        <v>1033</v>
      </c>
      <c r="E32" s="1904"/>
      <c r="F32" s="1904"/>
      <c r="G32" s="1904"/>
      <c r="H32" s="1880" t="s">
        <v>1043</v>
      </c>
      <c r="I32" s="1881"/>
      <c r="J32" s="1947" t="s">
        <v>2178</v>
      </c>
      <c r="K32" s="1948"/>
      <c r="L32" s="1948"/>
      <c r="M32" s="1949"/>
    </row>
    <row r="33" spans="1:34" ht="24" customHeight="1" x14ac:dyDescent="0.15">
      <c r="A33" s="267"/>
      <c r="B33" s="1884" t="s">
        <v>67</v>
      </c>
      <c r="C33" s="1884"/>
      <c r="D33" s="1904" t="s">
        <v>1034</v>
      </c>
      <c r="E33" s="1904"/>
      <c r="F33" s="1904"/>
      <c r="G33" s="1904"/>
      <c r="H33" s="1882"/>
      <c r="I33" s="1883"/>
      <c r="J33" s="1944" t="s">
        <v>2177</v>
      </c>
      <c r="K33" s="1945"/>
      <c r="L33" s="1945"/>
      <c r="M33" s="1946"/>
    </row>
    <row r="34" spans="1:34" ht="75.2" customHeight="1" x14ac:dyDescent="0.15">
      <c r="A34" s="267"/>
      <c r="B34" s="1940" t="s">
        <v>1035</v>
      </c>
      <c r="C34" s="1940"/>
      <c r="D34" s="1940"/>
      <c r="E34" s="1940"/>
      <c r="F34" s="1940"/>
      <c r="G34" s="1940"/>
      <c r="H34" s="1940"/>
      <c r="I34" s="1940"/>
      <c r="J34" s="1940"/>
      <c r="K34" s="1940"/>
      <c r="L34" s="1940"/>
      <c r="M34" s="1940"/>
    </row>
    <row r="35" spans="1:34" ht="40.15" customHeight="1" x14ac:dyDescent="0.15">
      <c r="A35" s="267"/>
      <c r="B35" s="1874" t="s">
        <v>924</v>
      </c>
      <c r="C35" s="1874"/>
      <c r="D35" s="1874"/>
      <c r="E35" s="1874"/>
      <c r="F35" s="1874"/>
      <c r="G35" s="1874"/>
      <c r="H35" s="1874"/>
      <c r="I35" s="1874"/>
      <c r="J35" s="1874"/>
      <c r="K35" s="1874"/>
      <c r="L35" s="1874"/>
      <c r="M35" s="1874"/>
      <c r="N35" s="261"/>
      <c r="O35" s="261"/>
      <c r="P35" s="261"/>
      <c r="Q35" s="261"/>
      <c r="R35" s="261"/>
      <c r="S35" s="261"/>
      <c r="T35" s="261"/>
      <c r="U35" s="261"/>
      <c r="V35" s="261"/>
      <c r="W35" s="261"/>
      <c r="X35" s="261"/>
      <c r="Y35" s="261"/>
      <c r="Z35" s="261"/>
      <c r="AA35" s="261"/>
      <c r="AB35" s="261"/>
      <c r="AC35" s="261"/>
      <c r="AD35" s="261"/>
      <c r="AE35" s="261"/>
      <c r="AF35" s="261"/>
      <c r="AG35" s="261"/>
      <c r="AH35" s="261"/>
    </row>
    <row r="36" spans="1:34" ht="20.100000000000001" customHeight="1" x14ac:dyDescent="0.15">
      <c r="A36" s="267"/>
      <c r="B36" s="273"/>
      <c r="C36" s="273"/>
      <c r="D36" s="273"/>
      <c r="E36" s="273"/>
      <c r="F36" s="273"/>
      <c r="G36" s="273"/>
      <c r="H36" s="273"/>
      <c r="I36" s="273"/>
      <c r="J36" s="273"/>
      <c r="K36" s="273"/>
      <c r="L36" s="273"/>
      <c r="M36" s="273"/>
      <c r="N36" s="273"/>
      <c r="O36" s="261"/>
      <c r="P36" s="261"/>
      <c r="Q36" s="261"/>
      <c r="R36" s="261"/>
      <c r="S36" s="261"/>
      <c r="T36" s="261"/>
      <c r="U36" s="261"/>
      <c r="V36" s="261"/>
      <c r="W36" s="261"/>
      <c r="X36" s="261"/>
      <c r="Y36" s="261"/>
      <c r="Z36" s="261"/>
      <c r="AA36" s="261"/>
      <c r="AB36" s="261"/>
      <c r="AC36" s="261"/>
      <c r="AD36" s="261"/>
      <c r="AE36" s="261"/>
      <c r="AF36" s="261"/>
      <c r="AG36" s="261"/>
      <c r="AH36" s="261"/>
    </row>
    <row r="37" spans="1:34" s="258" customFormat="1" ht="22.5" customHeight="1" x14ac:dyDescent="0.15">
      <c r="A37" s="263"/>
      <c r="B37" s="258" t="s">
        <v>1036</v>
      </c>
      <c r="M37" s="259"/>
      <c r="N37" s="259"/>
      <c r="Q37" s="272"/>
    </row>
    <row r="38" spans="1:34" ht="24" customHeight="1" thickBot="1" x14ac:dyDescent="0.2">
      <c r="A38" s="267"/>
      <c r="B38" s="1864" t="s">
        <v>916</v>
      </c>
      <c r="C38" s="1864"/>
      <c r="D38" s="1891" t="s">
        <v>1037</v>
      </c>
      <c r="E38" s="1891"/>
      <c r="F38" s="1891"/>
      <c r="G38" s="1891"/>
      <c r="H38" s="1891" t="s">
        <v>916</v>
      </c>
      <c r="I38" s="1891"/>
      <c r="J38" s="1891" t="s">
        <v>1037</v>
      </c>
      <c r="K38" s="1891"/>
      <c r="L38" s="1891"/>
      <c r="M38" s="1891"/>
    </row>
    <row r="39" spans="1:34" ht="24" customHeight="1" thickTop="1" x14ac:dyDescent="0.15">
      <c r="A39" s="267"/>
      <c r="B39" s="1875" t="s">
        <v>1043</v>
      </c>
      <c r="C39" s="1876"/>
      <c r="D39" s="1902" t="s">
        <v>1038</v>
      </c>
      <c r="E39" s="1902"/>
      <c r="F39" s="1902"/>
      <c r="G39" s="1902"/>
      <c r="H39" s="1884" t="s">
        <v>67</v>
      </c>
      <c r="I39" s="1884"/>
      <c r="J39" s="1903" t="s">
        <v>1039</v>
      </c>
      <c r="K39" s="1903"/>
      <c r="L39" s="1903"/>
      <c r="M39" s="1903"/>
    </row>
    <row r="40" spans="1:34" ht="23.85" customHeight="1" x14ac:dyDescent="0.15">
      <c r="A40" s="267"/>
      <c r="B40" s="1884" t="s">
        <v>1043</v>
      </c>
      <c r="C40" s="1884"/>
      <c r="D40" s="1904" t="s">
        <v>930</v>
      </c>
      <c r="E40" s="1904"/>
      <c r="F40" s="1904"/>
      <c r="G40" s="1904"/>
      <c r="H40" s="1884" t="s">
        <v>1043</v>
      </c>
      <c r="I40" s="1884"/>
      <c r="J40" s="1905" t="s">
        <v>1040</v>
      </c>
      <c r="K40" s="1905"/>
      <c r="L40" s="1905"/>
      <c r="M40" s="1905"/>
    </row>
    <row r="41" spans="1:34" ht="23.85" customHeight="1" x14ac:dyDescent="0.15">
      <c r="A41" s="267"/>
      <c r="B41" s="1884" t="s">
        <v>67</v>
      </c>
      <c r="C41" s="1884"/>
      <c r="D41" s="1904" t="s">
        <v>932</v>
      </c>
      <c r="E41" s="1904"/>
      <c r="F41" s="1904"/>
      <c r="G41" s="1904"/>
      <c r="H41" s="1880" t="s">
        <v>1043</v>
      </c>
      <c r="I41" s="1881"/>
      <c r="J41" s="1947" t="s">
        <v>2430</v>
      </c>
      <c r="K41" s="1948"/>
      <c r="L41" s="1948"/>
      <c r="M41" s="1949"/>
    </row>
    <row r="42" spans="1:34" ht="24" customHeight="1" x14ac:dyDescent="0.15">
      <c r="A42" s="267"/>
      <c r="B42" s="1884" t="s">
        <v>1043</v>
      </c>
      <c r="C42" s="1884"/>
      <c r="D42" s="1904" t="s">
        <v>1041</v>
      </c>
      <c r="E42" s="1904"/>
      <c r="F42" s="1904"/>
      <c r="G42" s="1904"/>
      <c r="H42" s="1877"/>
      <c r="I42" s="1878"/>
      <c r="J42" s="1965" t="s">
        <v>2179</v>
      </c>
      <c r="K42" s="1966"/>
      <c r="L42" s="1966"/>
      <c r="M42" s="1967"/>
    </row>
    <row r="43" spans="1:34" ht="24" customHeight="1" x14ac:dyDescent="0.15">
      <c r="A43" s="267"/>
      <c r="B43" s="1884" t="s">
        <v>67</v>
      </c>
      <c r="C43" s="1884"/>
      <c r="D43" s="1904" t="s">
        <v>1042</v>
      </c>
      <c r="E43" s="1904"/>
      <c r="F43" s="1904"/>
      <c r="G43" s="1904"/>
      <c r="H43" s="1882"/>
      <c r="I43" s="1883"/>
      <c r="J43" s="1944"/>
      <c r="K43" s="1945"/>
      <c r="L43" s="1945"/>
      <c r="M43" s="1946"/>
    </row>
    <row r="44" spans="1:34" ht="277.5" customHeight="1" x14ac:dyDescent="0.15">
      <c r="A44" s="267"/>
      <c r="B44" s="1963" t="s">
        <v>2429</v>
      </c>
      <c r="C44" s="1964"/>
      <c r="D44" s="1964"/>
      <c r="E44" s="1964"/>
      <c r="F44" s="1964"/>
      <c r="G44" s="1964"/>
      <c r="H44" s="1964"/>
      <c r="I44" s="1964"/>
      <c r="J44" s="1964"/>
      <c r="K44" s="1964"/>
      <c r="L44" s="1964"/>
      <c r="M44" s="1964"/>
    </row>
    <row r="45" spans="1:34" ht="20.100000000000001" customHeight="1" x14ac:dyDescent="0.15"/>
  </sheetData>
  <mergeCells count="63">
    <mergeCell ref="B44:M44"/>
    <mergeCell ref="B41:C41"/>
    <mergeCell ref="D41:G41"/>
    <mergeCell ref="H41:I43"/>
    <mergeCell ref="B42:C42"/>
    <mergeCell ref="D42:G42"/>
    <mergeCell ref="B43:C43"/>
    <mergeCell ref="D43:G43"/>
    <mergeCell ref="J41:M41"/>
    <mergeCell ref="J42:M43"/>
    <mergeCell ref="B39:C39"/>
    <mergeCell ref="D39:G39"/>
    <mergeCell ref="H39:I39"/>
    <mergeCell ref="J39:M39"/>
    <mergeCell ref="B40:C40"/>
    <mergeCell ref="D40:G40"/>
    <mergeCell ref="H40:I40"/>
    <mergeCell ref="J40:M40"/>
    <mergeCell ref="B34:M34"/>
    <mergeCell ref="B35:M35"/>
    <mergeCell ref="B38:C38"/>
    <mergeCell ref="D38:G38"/>
    <mergeCell ref="H38:I38"/>
    <mergeCell ref="J38:M38"/>
    <mergeCell ref="B31:C31"/>
    <mergeCell ref="D31:G31"/>
    <mergeCell ref="H31:I31"/>
    <mergeCell ref="J31:M31"/>
    <mergeCell ref="B32:C32"/>
    <mergeCell ref="D32:G32"/>
    <mergeCell ref="H32:I33"/>
    <mergeCell ref="B33:C33"/>
    <mergeCell ref="D33:G33"/>
    <mergeCell ref="J32:M32"/>
    <mergeCell ref="J33:M33"/>
    <mergeCell ref="B23:F23"/>
    <mergeCell ref="G23:J23"/>
    <mergeCell ref="B27:J27"/>
    <mergeCell ref="B30:C30"/>
    <mergeCell ref="D30:G30"/>
    <mergeCell ref="H30:I30"/>
    <mergeCell ref="J30:M30"/>
    <mergeCell ref="B20:F20"/>
    <mergeCell ref="G20:J20"/>
    <mergeCell ref="B21:F21"/>
    <mergeCell ref="G21:J21"/>
    <mergeCell ref="B22:F22"/>
    <mergeCell ref="G22:J22"/>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s>
  <phoneticPr fontId="3"/>
  <dataValidations count="1">
    <dataValidation type="list" allowBlank="1"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showGridLines="0" view="pageBreakPreview" zoomScaleNormal="100" zoomScaleSheetLayoutView="100" workbookViewId="0">
      <selection activeCell="S8" sqref="S8"/>
    </sheetView>
  </sheetViews>
  <sheetFormatPr defaultRowHeight="13.5" x14ac:dyDescent="0.15"/>
  <cols>
    <col min="1" max="2" width="2.625" style="66" customWidth="1"/>
    <col min="3" max="9" width="3" style="66" customWidth="1"/>
    <col min="10" max="32" width="2.625" style="66" customWidth="1"/>
    <col min="33" max="33" width="1.25" style="66" customWidth="1"/>
    <col min="34" max="51" width="2.625" style="66" customWidth="1"/>
  </cols>
  <sheetData>
    <row r="1" spans="1:33" s="63" customFormat="1" ht="15.6" customHeight="1" x14ac:dyDescent="0.15">
      <c r="A1" s="67" t="s">
        <v>2256</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row>
    <row r="2" spans="1:33" s="63" customFormat="1" ht="15.6"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row>
    <row r="3" spans="1:33" s="66" customFormat="1" ht="15.6" customHeight="1" x14ac:dyDescent="0.15">
      <c r="Z3" s="1974" t="s">
        <v>1142</v>
      </c>
      <c r="AA3" s="1974"/>
      <c r="AB3" s="1974"/>
      <c r="AC3" s="1974"/>
      <c r="AD3" s="1974"/>
      <c r="AE3" s="1974"/>
    </row>
    <row r="4" spans="1:33" ht="15.6" customHeight="1" x14ac:dyDescent="0.15">
      <c r="Z4" s="1974" t="s">
        <v>1143</v>
      </c>
      <c r="AA4" s="1974"/>
      <c r="AB4" s="1974"/>
      <c r="AC4" s="1974"/>
      <c r="AD4" s="1974"/>
      <c r="AE4" s="1974"/>
      <c r="AG4" s="225"/>
    </row>
    <row r="5" spans="1:33" ht="15.6" customHeight="1" x14ac:dyDescent="0.15">
      <c r="A5" s="66" t="s">
        <v>165</v>
      </c>
      <c r="B5" s="66" t="s">
        <v>2240</v>
      </c>
      <c r="M5" s="221"/>
    </row>
    <row r="6" spans="1:33" ht="15.6" customHeight="1" x14ac:dyDescent="0.15"/>
    <row r="7" spans="1:33" ht="15.6" customHeight="1" x14ac:dyDescent="0.15">
      <c r="X7" s="1975" t="str">
        <f>はじめに!D6</f>
        <v>真庭　太郎</v>
      </c>
      <c r="Y7" s="1975"/>
      <c r="Z7" s="1975"/>
      <c r="AA7" s="1975"/>
      <c r="AB7" s="1975"/>
      <c r="AC7" s="1975"/>
      <c r="AD7" s="1975"/>
      <c r="AE7" s="1975"/>
      <c r="AF7" s="1975"/>
    </row>
    <row r="8" spans="1:33" ht="15.6" customHeight="1" x14ac:dyDescent="0.15">
      <c r="W8" s="1974"/>
      <c r="X8" s="1974"/>
      <c r="Y8" s="1974"/>
      <c r="Z8" s="1974"/>
      <c r="AA8" s="1974"/>
      <c r="AB8" s="1974"/>
      <c r="AC8" s="1974"/>
      <c r="AD8" s="1974"/>
      <c r="AE8" s="1974"/>
      <c r="AF8" s="1974"/>
    </row>
    <row r="9" spans="1:33" ht="15.6" customHeight="1" x14ac:dyDescent="0.15">
      <c r="W9" s="225"/>
      <c r="X9" s="225"/>
      <c r="Y9" s="225"/>
      <c r="Z9" s="225"/>
      <c r="AA9" s="225"/>
      <c r="AB9" s="225"/>
      <c r="AC9" s="225"/>
      <c r="AD9" s="225"/>
      <c r="AE9" s="225"/>
      <c r="AF9" s="225"/>
    </row>
    <row r="10" spans="1:33" ht="15.6" customHeight="1" x14ac:dyDescent="0.15"/>
    <row r="11" spans="1:33" ht="15.6" customHeight="1" x14ac:dyDescent="0.15">
      <c r="A11" s="1787" t="s">
        <v>1079</v>
      </c>
      <c r="B11" s="1787"/>
      <c r="C11" s="1787"/>
      <c r="D11" s="1787"/>
      <c r="E11" s="1787"/>
      <c r="F11" s="1787"/>
      <c r="G11" s="1787"/>
      <c r="H11" s="1787"/>
      <c r="I11" s="1787"/>
      <c r="J11" s="1787"/>
      <c r="K11" s="1787"/>
      <c r="L11" s="1787"/>
      <c r="M11" s="1787"/>
      <c r="N11" s="1787"/>
      <c r="O11" s="1787"/>
      <c r="P11" s="1787"/>
      <c r="Q11" s="1787"/>
      <c r="R11" s="1787"/>
      <c r="S11" s="1787"/>
      <c r="T11" s="1787"/>
      <c r="U11" s="1787"/>
      <c r="V11" s="1787"/>
      <c r="W11" s="1787"/>
      <c r="X11" s="1787"/>
      <c r="Y11" s="1787"/>
      <c r="Z11" s="1787"/>
      <c r="AA11" s="1787"/>
      <c r="AB11" s="1787"/>
      <c r="AC11" s="1787"/>
      <c r="AD11" s="1787"/>
      <c r="AE11" s="1787"/>
      <c r="AF11" s="1787"/>
      <c r="AG11" s="1787"/>
    </row>
    <row r="12" spans="1:33" ht="15.6" customHeight="1" x14ac:dyDescent="0.15"/>
    <row r="13" spans="1:33" ht="15.6" customHeight="1" x14ac:dyDescent="0.15"/>
    <row r="14" spans="1:33" ht="15.6" customHeight="1" x14ac:dyDescent="0.15">
      <c r="B14" s="1968" t="s">
        <v>2259</v>
      </c>
      <c r="C14" s="1969"/>
      <c r="D14" s="1969"/>
      <c r="E14" s="1969"/>
      <c r="F14" s="1969"/>
      <c r="G14" s="1969"/>
      <c r="H14" s="1969"/>
      <c r="I14" s="1969"/>
      <c r="J14" s="1969"/>
      <c r="K14" s="1969"/>
      <c r="L14" s="1969"/>
      <c r="M14" s="1969"/>
      <c r="N14" s="1969"/>
      <c r="O14" s="1969"/>
      <c r="P14" s="1969"/>
      <c r="Q14" s="1969"/>
      <c r="R14" s="1969"/>
      <c r="S14" s="1969"/>
      <c r="T14" s="1969"/>
      <c r="U14" s="1969"/>
      <c r="V14" s="1969"/>
      <c r="W14" s="1969"/>
      <c r="X14" s="1969"/>
      <c r="Y14" s="1969"/>
      <c r="Z14" s="1969"/>
      <c r="AA14" s="1969"/>
      <c r="AB14" s="1969"/>
      <c r="AC14" s="1969"/>
      <c r="AD14" s="1969"/>
      <c r="AE14" s="1969"/>
      <c r="AF14" s="1969"/>
    </row>
    <row r="15" spans="1:33" ht="15.6" customHeight="1" x14ac:dyDescent="0.15">
      <c r="B15" s="1969"/>
      <c r="C15" s="1969"/>
      <c r="D15" s="1969"/>
      <c r="E15" s="1969"/>
      <c r="F15" s="1969"/>
      <c r="G15" s="1969"/>
      <c r="H15" s="1969"/>
      <c r="I15" s="1969"/>
      <c r="J15" s="1969"/>
      <c r="K15" s="1969"/>
      <c r="L15" s="1969"/>
      <c r="M15" s="1969"/>
      <c r="N15" s="1969"/>
      <c r="O15" s="1969"/>
      <c r="P15" s="1969"/>
      <c r="Q15" s="1969"/>
      <c r="R15" s="1969"/>
      <c r="S15" s="1969"/>
      <c r="T15" s="1969"/>
      <c r="U15" s="1969"/>
      <c r="V15" s="1969"/>
      <c r="W15" s="1969"/>
      <c r="X15" s="1969"/>
      <c r="Y15" s="1969"/>
      <c r="Z15" s="1969"/>
      <c r="AA15" s="1969"/>
      <c r="AB15" s="1969"/>
      <c r="AC15" s="1969"/>
      <c r="AD15" s="1969"/>
      <c r="AE15" s="1969"/>
      <c r="AF15" s="1969"/>
    </row>
    <row r="16" spans="1:33" ht="15.6" customHeight="1" x14ac:dyDescent="0.15">
      <c r="B16" s="1969"/>
      <c r="C16" s="1969"/>
      <c r="D16" s="1969"/>
      <c r="E16" s="1969"/>
      <c r="F16" s="1969"/>
      <c r="G16" s="1969"/>
      <c r="H16" s="1969"/>
      <c r="I16" s="1969"/>
      <c r="J16" s="1969"/>
      <c r="K16" s="1969"/>
      <c r="L16" s="1969"/>
      <c r="M16" s="1969"/>
      <c r="N16" s="1969"/>
      <c r="O16" s="1969"/>
      <c r="P16" s="1969"/>
      <c r="Q16" s="1969"/>
      <c r="R16" s="1969"/>
      <c r="S16" s="1969"/>
      <c r="T16" s="1969"/>
      <c r="U16" s="1969"/>
      <c r="V16" s="1969"/>
      <c r="W16" s="1969"/>
      <c r="X16" s="1969"/>
      <c r="Y16" s="1969"/>
      <c r="Z16" s="1969"/>
      <c r="AA16" s="1969"/>
      <c r="AB16" s="1969"/>
      <c r="AC16" s="1969"/>
      <c r="AD16" s="1969"/>
      <c r="AE16" s="1969"/>
      <c r="AF16" s="1969"/>
    </row>
    <row r="17" spans="1:33" ht="15.6" customHeight="1" x14ac:dyDescent="0.15">
      <c r="B17" s="1969"/>
      <c r="C17" s="1969"/>
      <c r="D17" s="1969"/>
      <c r="E17" s="1969"/>
      <c r="F17" s="1969"/>
      <c r="G17" s="1969"/>
      <c r="H17" s="1969"/>
      <c r="I17" s="1969"/>
      <c r="J17" s="1969"/>
      <c r="K17" s="1969"/>
      <c r="L17" s="1969"/>
      <c r="M17" s="1969"/>
      <c r="N17" s="1969"/>
      <c r="O17" s="1969"/>
      <c r="P17" s="1969"/>
      <c r="Q17" s="1969"/>
      <c r="R17" s="1969"/>
      <c r="S17" s="1969"/>
      <c r="T17" s="1969"/>
      <c r="U17" s="1969"/>
      <c r="V17" s="1969"/>
      <c r="W17" s="1969"/>
      <c r="X17" s="1969"/>
      <c r="Y17" s="1969"/>
      <c r="Z17" s="1969"/>
      <c r="AA17" s="1969"/>
      <c r="AB17" s="1969"/>
      <c r="AC17" s="1969"/>
      <c r="AD17" s="1969"/>
      <c r="AE17" s="1969"/>
      <c r="AF17" s="1969"/>
    </row>
    <row r="18" spans="1:33" ht="15.6" customHeight="1" x14ac:dyDescent="0.15"/>
    <row r="19" spans="1:33" ht="15.6" customHeight="1" x14ac:dyDescent="0.15">
      <c r="A19" s="1787" t="s">
        <v>1083</v>
      </c>
      <c r="B19" s="1787"/>
      <c r="C19" s="1787"/>
      <c r="D19" s="1787"/>
      <c r="E19" s="1787"/>
      <c r="F19" s="1787"/>
      <c r="G19" s="1787"/>
      <c r="H19" s="1787"/>
      <c r="I19" s="1787"/>
      <c r="J19" s="1787"/>
      <c r="K19" s="1787"/>
      <c r="L19" s="1787"/>
      <c r="M19" s="1787"/>
      <c r="N19" s="1787"/>
      <c r="O19" s="1787"/>
      <c r="P19" s="1787"/>
      <c r="Q19" s="1787"/>
      <c r="R19" s="1787"/>
      <c r="S19" s="1787"/>
      <c r="T19" s="1787"/>
      <c r="U19" s="1787"/>
      <c r="V19" s="1787"/>
      <c r="W19" s="1787"/>
      <c r="X19" s="1787"/>
      <c r="Y19" s="1787"/>
      <c r="Z19" s="1787"/>
      <c r="AA19" s="1787"/>
      <c r="AB19" s="1787"/>
      <c r="AC19" s="1787"/>
      <c r="AD19" s="1787"/>
      <c r="AE19" s="1787"/>
      <c r="AF19" s="1787"/>
      <c r="AG19" s="1787"/>
    </row>
    <row r="20" spans="1:33" ht="15.6" customHeight="1" x14ac:dyDescent="0.15"/>
    <row r="21" spans="1:33" ht="15.6" customHeight="1" thickBot="1" x14ac:dyDescent="0.2">
      <c r="B21" s="1976" t="s">
        <v>2241</v>
      </c>
      <c r="C21" s="1976"/>
      <c r="D21" s="1976"/>
      <c r="E21" s="1976"/>
      <c r="F21" s="1976"/>
      <c r="G21" s="1976"/>
      <c r="H21" s="1976"/>
      <c r="I21" s="1976"/>
      <c r="J21" s="1976"/>
    </row>
    <row r="22" spans="1:33" ht="15.6" customHeight="1" thickBot="1" x14ac:dyDescent="0.2">
      <c r="B22" s="1977" t="s">
        <v>2242</v>
      </c>
      <c r="C22" s="1978"/>
      <c r="D22" s="1978"/>
      <c r="E22" s="1978"/>
      <c r="F22" s="1978"/>
      <c r="G22" s="1978"/>
      <c r="H22" s="1978"/>
      <c r="I22" s="1978"/>
      <c r="J22" s="1978"/>
      <c r="K22" s="1979" t="str">
        <f>はじめに!D5</f>
        <v>真庭集落協定</v>
      </c>
      <c r="L22" s="1979"/>
      <c r="M22" s="1979"/>
      <c r="N22" s="1979"/>
      <c r="O22" s="1979"/>
      <c r="P22" s="1979"/>
      <c r="Q22" s="1979"/>
      <c r="R22" s="1979"/>
      <c r="S22" s="1978" t="s">
        <v>2243</v>
      </c>
      <c r="T22" s="1978"/>
      <c r="U22" s="1978"/>
      <c r="V22" s="1978"/>
      <c r="W22" s="1978"/>
      <c r="X22" s="1978"/>
      <c r="Y22" s="1978"/>
      <c r="Z22" s="1980">
        <f>SUM(別紙１④!E56:E60)+SUM(別紙１④!J56:J59)+SUM(別紙１④!O56:O60)+SUM(別紙１④!T56:T58)</f>
        <v>10535</v>
      </c>
      <c r="AA22" s="1981"/>
      <c r="AB22" s="1981"/>
      <c r="AC22" s="1981"/>
      <c r="AD22" s="1981"/>
      <c r="AE22" s="1981"/>
      <c r="AF22" s="790" t="s">
        <v>2260</v>
      </c>
    </row>
    <row r="23" spans="1:33" ht="15.6" customHeight="1" thickTop="1" x14ac:dyDescent="0.15">
      <c r="B23" s="1989" t="s">
        <v>2245</v>
      </c>
      <c r="C23" s="1992" t="s">
        <v>2246</v>
      </c>
      <c r="D23" s="1992"/>
      <c r="E23" s="1992"/>
      <c r="F23" s="1992"/>
      <c r="G23" s="1992"/>
      <c r="H23" s="1982" t="s">
        <v>2257</v>
      </c>
      <c r="I23" s="1982"/>
      <c r="J23" s="1982"/>
      <c r="K23" s="1982"/>
      <c r="L23" s="1982"/>
      <c r="M23" s="1982"/>
      <c r="N23" s="1982"/>
      <c r="O23" s="1982"/>
      <c r="P23" s="1993"/>
      <c r="Q23" s="1995" t="s">
        <v>2247</v>
      </c>
      <c r="R23" s="1992" t="s">
        <v>2248</v>
      </c>
      <c r="S23" s="1992"/>
      <c r="T23" s="1992"/>
      <c r="U23" s="1992"/>
      <c r="V23" s="1992"/>
      <c r="W23" s="1982" t="s">
        <v>2258</v>
      </c>
      <c r="X23" s="1982"/>
      <c r="Y23" s="1982"/>
      <c r="Z23" s="1982"/>
      <c r="AA23" s="1982"/>
      <c r="AB23" s="1982"/>
      <c r="AC23" s="1982"/>
      <c r="AD23" s="1982"/>
      <c r="AE23" s="1982"/>
      <c r="AF23" s="1983"/>
    </row>
    <row r="24" spans="1:33" ht="15.6" customHeight="1" x14ac:dyDescent="0.15">
      <c r="B24" s="1990"/>
      <c r="C24" s="1753"/>
      <c r="D24" s="1753"/>
      <c r="E24" s="1753"/>
      <c r="F24" s="1753"/>
      <c r="G24" s="1753"/>
      <c r="H24" s="1984"/>
      <c r="I24" s="1984"/>
      <c r="J24" s="1984"/>
      <c r="K24" s="1984"/>
      <c r="L24" s="1984"/>
      <c r="M24" s="1984"/>
      <c r="N24" s="1984"/>
      <c r="O24" s="1984"/>
      <c r="P24" s="1994"/>
      <c r="Q24" s="1996"/>
      <c r="R24" s="1753"/>
      <c r="S24" s="1753"/>
      <c r="T24" s="1753"/>
      <c r="U24" s="1753"/>
      <c r="V24" s="1753"/>
      <c r="W24" s="1984"/>
      <c r="X24" s="1984"/>
      <c r="Y24" s="1984"/>
      <c r="Z24" s="1984"/>
      <c r="AA24" s="1984"/>
      <c r="AB24" s="1984"/>
      <c r="AC24" s="1984"/>
      <c r="AD24" s="1984"/>
      <c r="AE24" s="1984"/>
      <c r="AF24" s="1985"/>
    </row>
    <row r="25" spans="1:33" ht="15.6" customHeight="1" x14ac:dyDescent="0.15">
      <c r="B25" s="1990"/>
      <c r="C25" s="1753" t="s">
        <v>2249</v>
      </c>
      <c r="D25" s="1753"/>
      <c r="E25" s="1753"/>
      <c r="F25" s="1753"/>
      <c r="G25" s="1753"/>
      <c r="H25" s="1753"/>
      <c r="I25" s="1986" t="s">
        <v>2244</v>
      </c>
      <c r="J25" s="1986"/>
      <c r="K25" s="1986"/>
      <c r="L25" s="1986"/>
      <c r="M25" s="1986"/>
      <c r="N25" s="1986"/>
      <c r="O25" s="1986"/>
      <c r="P25" s="1987"/>
      <c r="Q25" s="1996"/>
      <c r="R25" s="1753" t="s">
        <v>2250</v>
      </c>
      <c r="S25" s="1753"/>
      <c r="T25" s="1753"/>
      <c r="U25" s="1753"/>
      <c r="V25" s="1753"/>
      <c r="W25" s="1753"/>
      <c r="X25" s="1753"/>
      <c r="Y25" s="1986" t="s">
        <v>2244</v>
      </c>
      <c r="Z25" s="1986"/>
      <c r="AA25" s="1986"/>
      <c r="AB25" s="1986"/>
      <c r="AC25" s="1986"/>
      <c r="AD25" s="1986"/>
      <c r="AE25" s="1986"/>
      <c r="AF25" s="1988"/>
    </row>
    <row r="26" spans="1:33" ht="15.6" customHeight="1" x14ac:dyDescent="0.15">
      <c r="B26" s="1990"/>
      <c r="C26" s="1753" t="s">
        <v>2251</v>
      </c>
      <c r="D26" s="1753"/>
      <c r="E26" s="1753"/>
      <c r="F26" s="1753"/>
      <c r="G26" s="1753"/>
      <c r="H26" s="1753"/>
      <c r="I26" s="1753"/>
      <c r="J26" s="1998" t="s">
        <v>2252</v>
      </c>
      <c r="K26" s="1998"/>
      <c r="L26" s="1998"/>
      <c r="M26" s="1998"/>
      <c r="N26" s="1998"/>
      <c r="O26" s="1998"/>
      <c r="P26" s="1999"/>
      <c r="Q26" s="1996"/>
      <c r="R26" s="1970" t="s">
        <v>2253</v>
      </c>
      <c r="S26" s="1971"/>
      <c r="T26" s="1971"/>
      <c r="U26" s="1971"/>
      <c r="V26" s="1971"/>
      <c r="W26" s="1971"/>
      <c r="X26" s="1971"/>
      <c r="Y26" s="1972"/>
      <c r="Z26" s="1972"/>
      <c r="AA26" s="1972"/>
      <c r="AB26" s="1972"/>
      <c r="AC26" s="1972"/>
      <c r="AD26" s="1972"/>
      <c r="AE26" s="1972"/>
      <c r="AF26" s="1973"/>
    </row>
    <row r="27" spans="1:33" ht="90" customHeight="1" thickBot="1" x14ac:dyDescent="0.2">
      <c r="B27" s="1991"/>
      <c r="C27" s="2000"/>
      <c r="D27" s="2000"/>
      <c r="E27" s="2000"/>
      <c r="F27" s="2000"/>
      <c r="G27" s="2000"/>
      <c r="H27" s="2000"/>
      <c r="I27" s="2000"/>
      <c r="J27" s="2000"/>
      <c r="K27" s="2000"/>
      <c r="L27" s="2000"/>
      <c r="M27" s="2000"/>
      <c r="N27" s="2000"/>
      <c r="O27" s="2000"/>
      <c r="P27" s="2001"/>
      <c r="Q27" s="1997"/>
      <c r="R27" s="2000"/>
      <c r="S27" s="2000"/>
      <c r="T27" s="2000"/>
      <c r="U27" s="2000"/>
      <c r="V27" s="2000"/>
      <c r="W27" s="2000"/>
      <c r="X27" s="2000"/>
      <c r="Y27" s="2000"/>
      <c r="Z27" s="2000"/>
      <c r="AA27" s="2000"/>
      <c r="AB27" s="2000"/>
      <c r="AC27" s="2000"/>
      <c r="AD27" s="2000"/>
      <c r="AE27" s="2000"/>
      <c r="AF27" s="2002"/>
    </row>
    <row r="28" spans="1:33" ht="15.6" customHeight="1" x14ac:dyDescent="0.15"/>
    <row r="29" spans="1:33" ht="15.6" customHeight="1" x14ac:dyDescent="0.15">
      <c r="B29" s="66" t="s">
        <v>2254</v>
      </c>
    </row>
    <row r="30" spans="1:33" ht="15.6" customHeight="1" x14ac:dyDescent="0.15">
      <c r="E30" s="66" t="s">
        <v>2255</v>
      </c>
    </row>
    <row r="31" spans="1:33" ht="15.6" customHeight="1" x14ac:dyDescent="0.15"/>
    <row r="32" spans="1:33" ht="15.6" customHeight="1" x14ac:dyDescent="0.15"/>
    <row r="33" ht="15.6" customHeight="1" x14ac:dyDescent="0.15"/>
    <row r="34" ht="15.6" customHeight="1" x14ac:dyDescent="0.15"/>
  </sheetData>
  <mergeCells count="29">
    <mergeCell ref="I25:P25"/>
    <mergeCell ref="R25:X25"/>
    <mergeCell ref="Y25:AF25"/>
    <mergeCell ref="B23:B27"/>
    <mergeCell ref="C23:G24"/>
    <mergeCell ref="H23:P24"/>
    <mergeCell ref="Q23:Q27"/>
    <mergeCell ref="R23:V24"/>
    <mergeCell ref="C26:I26"/>
    <mergeCell ref="J26:P26"/>
    <mergeCell ref="C27:I27"/>
    <mergeCell ref="J27:P27"/>
    <mergeCell ref="R27:AF27"/>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showGridLines="0" view="pageBreakPreview" zoomScaleNormal="100" zoomScaleSheetLayoutView="100" workbookViewId="0">
      <selection activeCell="S8" sqref="S8"/>
    </sheetView>
  </sheetViews>
  <sheetFormatPr defaultRowHeight="13.5" x14ac:dyDescent="0.15"/>
  <cols>
    <col min="1" max="51" width="2.625" style="66" customWidth="1"/>
  </cols>
  <sheetData>
    <row r="1" spans="1:33" s="63" customFormat="1" ht="15.6" customHeight="1" x14ac:dyDescent="0.15">
      <c r="A1" s="67" t="s">
        <v>2226</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row>
    <row r="2" spans="1:33" s="63" customFormat="1" ht="15.6"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row>
    <row r="3" spans="1:33" x14ac:dyDescent="0.15">
      <c r="A3" s="2008" t="s">
        <v>1080</v>
      </c>
      <c r="B3" s="2008"/>
      <c r="C3" s="2008"/>
      <c r="D3" s="2008"/>
      <c r="E3" s="2008"/>
      <c r="F3" s="2008"/>
      <c r="G3" s="2008"/>
      <c r="H3" s="2008"/>
      <c r="I3" s="2008"/>
      <c r="J3" s="2008"/>
      <c r="K3" s="2008"/>
      <c r="L3" s="2008"/>
      <c r="M3" s="2008"/>
      <c r="N3" s="2008"/>
      <c r="O3" s="2008"/>
      <c r="P3" s="2008"/>
      <c r="Q3" s="2008"/>
      <c r="R3" s="2008"/>
      <c r="S3" s="2008"/>
      <c r="T3" s="2008"/>
      <c r="U3" s="2008"/>
      <c r="V3" s="2008"/>
      <c r="W3" s="2008"/>
      <c r="X3" s="2008"/>
      <c r="Y3" s="2008"/>
      <c r="Z3" s="2008"/>
      <c r="AA3" s="2008"/>
      <c r="AB3" s="2008"/>
      <c r="AC3" s="2008"/>
      <c r="AD3" s="2008"/>
      <c r="AE3" s="2008"/>
      <c r="AF3" s="2008"/>
      <c r="AG3" s="2008"/>
    </row>
    <row r="4" spans="1:33" x14ac:dyDescent="0.15">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row>
    <row r="5" spans="1:33" ht="15.6" customHeight="1" x14ac:dyDescent="0.15">
      <c r="B5" s="221"/>
      <c r="U5" s="746" t="s">
        <v>1972</v>
      </c>
      <c r="V5" s="746"/>
      <c r="W5" s="746"/>
      <c r="X5" s="746"/>
      <c r="Y5" s="746"/>
      <c r="Z5" s="746"/>
      <c r="AA5" s="2007" t="str">
        <f>はじめに!D5</f>
        <v>真庭集落協定</v>
      </c>
      <c r="AB5" s="2007"/>
      <c r="AC5" s="2007"/>
      <c r="AD5" s="2007"/>
      <c r="AE5" s="2007"/>
      <c r="AF5" s="2007"/>
      <c r="AG5" s="66" t="s">
        <v>285</v>
      </c>
    </row>
    <row r="6" spans="1:33" ht="36" customHeight="1" x14ac:dyDescent="0.15">
      <c r="A6" s="2009" t="s">
        <v>1085</v>
      </c>
      <c r="B6" s="2009"/>
      <c r="C6" s="2009" t="s">
        <v>1086</v>
      </c>
      <c r="D6" s="2009"/>
      <c r="E6" s="2009" t="s">
        <v>1087</v>
      </c>
      <c r="F6" s="2009"/>
      <c r="G6" s="2009" t="s">
        <v>1088</v>
      </c>
      <c r="H6" s="2009"/>
      <c r="I6" s="2009" t="s">
        <v>1089</v>
      </c>
      <c r="J6" s="2009"/>
      <c r="K6" s="2009"/>
      <c r="L6" s="2009"/>
      <c r="M6" s="2009" t="s">
        <v>1090</v>
      </c>
      <c r="N6" s="2009"/>
      <c r="O6" s="2009" t="s">
        <v>1091</v>
      </c>
      <c r="P6" s="2009"/>
      <c r="Q6" s="2009" t="s">
        <v>1092</v>
      </c>
      <c r="R6" s="2009"/>
      <c r="S6" s="2009"/>
      <c r="T6" s="2009"/>
      <c r="U6" s="2009" t="s">
        <v>1093</v>
      </c>
      <c r="V6" s="2009"/>
      <c r="W6" s="2009"/>
      <c r="X6" s="2009"/>
      <c r="Y6" s="2009" t="s">
        <v>1094</v>
      </c>
      <c r="Z6" s="2009"/>
      <c r="AA6" s="2009"/>
      <c r="AB6" s="2009"/>
      <c r="AC6" s="2009" t="s">
        <v>1095</v>
      </c>
      <c r="AD6" s="2009"/>
      <c r="AE6" s="2009"/>
      <c r="AF6" s="2009"/>
    </row>
    <row r="7" spans="1:33" ht="36" customHeight="1" x14ac:dyDescent="0.15">
      <c r="A7" s="2009"/>
      <c r="B7" s="2009"/>
      <c r="C7" s="2009"/>
      <c r="D7" s="2009"/>
      <c r="E7" s="2009"/>
      <c r="F7" s="2009"/>
      <c r="G7" s="2009"/>
      <c r="H7" s="2009"/>
      <c r="I7" s="2010" t="s">
        <v>1096</v>
      </c>
      <c r="J7" s="2010"/>
      <c r="K7" s="2010" t="s">
        <v>1097</v>
      </c>
      <c r="L7" s="2010"/>
      <c r="M7" s="2009"/>
      <c r="N7" s="2009"/>
      <c r="O7" s="2009"/>
      <c r="P7" s="2009"/>
      <c r="Q7" s="2010" t="s">
        <v>1098</v>
      </c>
      <c r="R7" s="2010"/>
      <c r="S7" s="2010" t="s">
        <v>770</v>
      </c>
      <c r="T7" s="2010"/>
      <c r="U7" s="2010" t="s">
        <v>1099</v>
      </c>
      <c r="V7" s="2010"/>
      <c r="W7" s="2010" t="s">
        <v>1100</v>
      </c>
      <c r="X7" s="2010"/>
      <c r="Y7" s="2010" t="s">
        <v>1101</v>
      </c>
      <c r="Z7" s="2010"/>
      <c r="AA7" s="2010" t="s">
        <v>1102</v>
      </c>
      <c r="AB7" s="2010"/>
      <c r="AC7" s="2009"/>
      <c r="AD7" s="2009"/>
      <c r="AE7" s="2009"/>
      <c r="AF7" s="2009"/>
    </row>
    <row r="8" spans="1:33" ht="15.6" customHeight="1" x14ac:dyDescent="0.15">
      <c r="A8" s="2003"/>
      <c r="B8" s="2003"/>
      <c r="C8" s="2003"/>
      <c r="D8" s="2003"/>
      <c r="E8" s="2003"/>
      <c r="F8" s="2003"/>
      <c r="G8" s="2003"/>
      <c r="H8" s="2003"/>
      <c r="I8" s="2003"/>
      <c r="J8" s="2003"/>
      <c r="K8" s="2003"/>
      <c r="L8" s="2003"/>
      <c r="M8" s="2003"/>
      <c r="N8" s="2003"/>
      <c r="O8" s="2003"/>
      <c r="P8" s="2003"/>
      <c r="Q8" s="2003"/>
      <c r="R8" s="2003"/>
      <c r="S8" s="2003"/>
      <c r="T8" s="2003"/>
      <c r="U8" s="2003"/>
      <c r="V8" s="2003"/>
      <c r="W8" s="2003"/>
      <c r="X8" s="2003"/>
      <c r="Y8" s="2003"/>
      <c r="Z8" s="2003"/>
      <c r="AA8" s="2003"/>
      <c r="AB8" s="2003"/>
      <c r="AC8" s="2004"/>
      <c r="AD8" s="2005"/>
      <c r="AE8" s="2005"/>
      <c r="AF8" s="2006"/>
    </row>
    <row r="9" spans="1:33" ht="15.6" customHeight="1" x14ac:dyDescent="0.15">
      <c r="A9" s="2003"/>
      <c r="B9" s="2003"/>
      <c r="C9" s="2003"/>
      <c r="D9" s="2003"/>
      <c r="E9" s="2003"/>
      <c r="F9" s="2003"/>
      <c r="G9" s="2003"/>
      <c r="H9" s="2003"/>
      <c r="I9" s="2003"/>
      <c r="J9" s="2003"/>
      <c r="K9" s="2003"/>
      <c r="L9" s="2003"/>
      <c r="M9" s="2003"/>
      <c r="N9" s="2003"/>
      <c r="O9" s="2003"/>
      <c r="P9" s="2003"/>
      <c r="Q9" s="2003"/>
      <c r="R9" s="2003"/>
      <c r="S9" s="2003"/>
      <c r="T9" s="2003"/>
      <c r="U9" s="2003"/>
      <c r="V9" s="2003"/>
      <c r="W9" s="2003"/>
      <c r="X9" s="2003"/>
      <c r="Y9" s="2003"/>
      <c r="Z9" s="2003"/>
      <c r="AA9" s="2003"/>
      <c r="AB9" s="2003"/>
      <c r="AC9" s="2004"/>
      <c r="AD9" s="2005"/>
      <c r="AE9" s="2005"/>
      <c r="AF9" s="2006"/>
    </row>
    <row r="10" spans="1:33" ht="15.6" customHeight="1" x14ac:dyDescent="0.15">
      <c r="A10" s="2003"/>
      <c r="B10" s="2003"/>
      <c r="C10" s="2003"/>
      <c r="D10" s="2003"/>
      <c r="E10" s="2003"/>
      <c r="F10" s="2003"/>
      <c r="G10" s="2003"/>
      <c r="H10" s="2003"/>
      <c r="I10" s="2003"/>
      <c r="J10" s="2003"/>
      <c r="K10" s="2003"/>
      <c r="L10" s="2003"/>
      <c r="M10" s="2003"/>
      <c r="N10" s="2003"/>
      <c r="O10" s="2003"/>
      <c r="P10" s="2003"/>
      <c r="Q10" s="2003"/>
      <c r="R10" s="2003"/>
      <c r="S10" s="2003"/>
      <c r="T10" s="2003"/>
      <c r="U10" s="2003"/>
      <c r="V10" s="2003"/>
      <c r="W10" s="2003"/>
      <c r="X10" s="2003"/>
      <c r="Y10" s="2003"/>
      <c r="Z10" s="2003"/>
      <c r="AA10" s="2003"/>
      <c r="AB10" s="2003"/>
      <c r="AC10" s="2004"/>
      <c r="AD10" s="2005"/>
      <c r="AE10" s="2005"/>
      <c r="AF10" s="2006"/>
    </row>
    <row r="11" spans="1:33" ht="15.6" customHeight="1" x14ac:dyDescent="0.15">
      <c r="A11" s="2003"/>
      <c r="B11" s="2003"/>
      <c r="C11" s="2003"/>
      <c r="D11" s="2003"/>
      <c r="E11" s="2003"/>
      <c r="F11" s="2003"/>
      <c r="G11" s="2003"/>
      <c r="H11" s="2003"/>
      <c r="I11" s="2003"/>
      <c r="J11" s="2003"/>
      <c r="K11" s="2003"/>
      <c r="L11" s="2003"/>
      <c r="M11" s="2003"/>
      <c r="N11" s="2003"/>
      <c r="O11" s="2003"/>
      <c r="P11" s="2003"/>
      <c r="Q11" s="2003"/>
      <c r="R11" s="2003"/>
      <c r="S11" s="2003"/>
      <c r="T11" s="2003"/>
      <c r="U11" s="2003"/>
      <c r="V11" s="2003"/>
      <c r="W11" s="2003"/>
      <c r="X11" s="2003"/>
      <c r="Y11" s="2003"/>
      <c r="Z11" s="2003"/>
      <c r="AA11" s="2003"/>
      <c r="AB11" s="2003"/>
      <c r="AC11" s="2004"/>
      <c r="AD11" s="2005"/>
      <c r="AE11" s="2005"/>
      <c r="AF11" s="2006"/>
    </row>
    <row r="12" spans="1:33" ht="15.6" customHeight="1" x14ac:dyDescent="0.15">
      <c r="A12" s="2003"/>
      <c r="B12" s="2003"/>
      <c r="C12" s="2003"/>
      <c r="D12" s="2003"/>
      <c r="E12" s="2003"/>
      <c r="F12" s="2003"/>
      <c r="G12" s="2003"/>
      <c r="H12" s="2003"/>
      <c r="I12" s="2003"/>
      <c r="J12" s="2003"/>
      <c r="K12" s="2003"/>
      <c r="L12" s="2003"/>
      <c r="M12" s="2003"/>
      <c r="N12" s="2003"/>
      <c r="O12" s="2003"/>
      <c r="P12" s="2003"/>
      <c r="Q12" s="2003"/>
      <c r="R12" s="2003"/>
      <c r="S12" s="2003"/>
      <c r="T12" s="2003"/>
      <c r="U12" s="2003"/>
      <c r="V12" s="2003"/>
      <c r="W12" s="2003"/>
      <c r="X12" s="2003"/>
      <c r="Y12" s="2003"/>
      <c r="Z12" s="2003"/>
      <c r="AA12" s="2003"/>
      <c r="AB12" s="2003"/>
      <c r="AC12" s="2004"/>
      <c r="AD12" s="2005"/>
      <c r="AE12" s="2005"/>
      <c r="AF12" s="2006"/>
    </row>
    <row r="13" spans="1:33" ht="15.6" customHeight="1" x14ac:dyDescent="0.15">
      <c r="A13" s="2003"/>
      <c r="B13" s="2003"/>
      <c r="C13" s="2003"/>
      <c r="D13" s="2003"/>
      <c r="E13" s="2003"/>
      <c r="F13" s="2003"/>
      <c r="G13" s="2003"/>
      <c r="H13" s="2003"/>
      <c r="I13" s="2003"/>
      <c r="J13" s="2003"/>
      <c r="K13" s="2003"/>
      <c r="L13" s="2003"/>
      <c r="M13" s="2003"/>
      <c r="N13" s="2003"/>
      <c r="O13" s="2003"/>
      <c r="P13" s="2003"/>
      <c r="Q13" s="2003"/>
      <c r="R13" s="2003"/>
      <c r="S13" s="2003"/>
      <c r="T13" s="2003"/>
      <c r="U13" s="2003"/>
      <c r="V13" s="2003"/>
      <c r="W13" s="2003"/>
      <c r="X13" s="2003"/>
      <c r="Y13" s="2003"/>
      <c r="Z13" s="2003"/>
      <c r="AA13" s="2003"/>
      <c r="AB13" s="2003"/>
      <c r="AC13" s="2004"/>
      <c r="AD13" s="2005"/>
      <c r="AE13" s="2005"/>
      <c r="AF13" s="2006"/>
    </row>
    <row r="14" spans="1:33" ht="15.6" customHeight="1" x14ac:dyDescent="0.15">
      <c r="A14" s="2003"/>
      <c r="B14" s="2003"/>
      <c r="C14" s="2003"/>
      <c r="D14" s="2003"/>
      <c r="E14" s="2003"/>
      <c r="F14" s="2003"/>
      <c r="G14" s="2003"/>
      <c r="H14" s="2003"/>
      <c r="I14" s="2003"/>
      <c r="J14" s="2003"/>
      <c r="K14" s="2003"/>
      <c r="L14" s="2003"/>
      <c r="M14" s="2003"/>
      <c r="N14" s="2003"/>
      <c r="O14" s="2003"/>
      <c r="P14" s="2003"/>
      <c r="Q14" s="2003"/>
      <c r="R14" s="2003"/>
      <c r="S14" s="2003"/>
      <c r="T14" s="2003"/>
      <c r="U14" s="2003"/>
      <c r="V14" s="2003"/>
      <c r="W14" s="2003"/>
      <c r="X14" s="2003"/>
      <c r="Y14" s="2003"/>
      <c r="Z14" s="2003"/>
      <c r="AA14" s="2003"/>
      <c r="AB14" s="2003"/>
      <c r="AC14" s="2004"/>
      <c r="AD14" s="2005"/>
      <c r="AE14" s="2005"/>
      <c r="AF14" s="2006"/>
    </row>
    <row r="15" spans="1:33" ht="15.6" customHeight="1" x14ac:dyDescent="0.15">
      <c r="A15" s="2003"/>
      <c r="B15" s="2003"/>
      <c r="C15" s="2003"/>
      <c r="D15" s="2003"/>
      <c r="E15" s="2003"/>
      <c r="F15" s="2003"/>
      <c r="G15" s="2003"/>
      <c r="H15" s="2003"/>
      <c r="I15" s="2003"/>
      <c r="J15" s="2003"/>
      <c r="K15" s="2003"/>
      <c r="L15" s="2003"/>
      <c r="M15" s="2003"/>
      <c r="N15" s="2003"/>
      <c r="O15" s="2003"/>
      <c r="P15" s="2003"/>
      <c r="Q15" s="2003"/>
      <c r="R15" s="2003"/>
      <c r="S15" s="2003"/>
      <c r="T15" s="2003"/>
      <c r="U15" s="2003"/>
      <c r="V15" s="2003"/>
      <c r="W15" s="2003"/>
      <c r="X15" s="2003"/>
      <c r="Y15" s="2003"/>
      <c r="Z15" s="2003"/>
      <c r="AA15" s="2003"/>
      <c r="AB15" s="2003"/>
      <c r="AC15" s="2004"/>
      <c r="AD15" s="2005"/>
      <c r="AE15" s="2005"/>
      <c r="AF15" s="2006"/>
    </row>
    <row r="16" spans="1:33" ht="15.6" customHeight="1" x14ac:dyDescent="0.15">
      <c r="A16" s="2003"/>
      <c r="B16" s="2003"/>
      <c r="C16" s="2003"/>
      <c r="D16" s="2003"/>
      <c r="E16" s="2003"/>
      <c r="F16" s="2003"/>
      <c r="G16" s="2003"/>
      <c r="H16" s="2003"/>
      <c r="I16" s="2003"/>
      <c r="J16" s="2003"/>
      <c r="K16" s="2003"/>
      <c r="L16" s="2003"/>
      <c r="M16" s="2003"/>
      <c r="N16" s="2003"/>
      <c r="O16" s="2003"/>
      <c r="P16" s="2003"/>
      <c r="Q16" s="2003"/>
      <c r="R16" s="2003"/>
      <c r="S16" s="2003"/>
      <c r="T16" s="2003"/>
      <c r="U16" s="2003"/>
      <c r="V16" s="2003"/>
      <c r="W16" s="2003"/>
      <c r="X16" s="2003"/>
      <c r="Y16" s="2003"/>
      <c r="Z16" s="2003"/>
      <c r="AA16" s="2003"/>
      <c r="AB16" s="2003"/>
      <c r="AC16" s="2004"/>
      <c r="AD16" s="2005"/>
      <c r="AE16" s="2005"/>
      <c r="AF16" s="2006"/>
    </row>
    <row r="17" spans="1:32" ht="15.6" customHeight="1" x14ac:dyDescent="0.15">
      <c r="A17" s="2003"/>
      <c r="B17" s="2003"/>
      <c r="C17" s="2003"/>
      <c r="D17" s="2003"/>
      <c r="E17" s="2003"/>
      <c r="F17" s="2003"/>
      <c r="G17" s="2003"/>
      <c r="H17" s="2003"/>
      <c r="I17" s="2003"/>
      <c r="J17" s="2003"/>
      <c r="K17" s="2003"/>
      <c r="L17" s="2003"/>
      <c r="M17" s="2003"/>
      <c r="N17" s="2003"/>
      <c r="O17" s="2003"/>
      <c r="P17" s="2003"/>
      <c r="Q17" s="2003"/>
      <c r="R17" s="2003"/>
      <c r="S17" s="2003"/>
      <c r="T17" s="2003"/>
      <c r="U17" s="2003"/>
      <c r="V17" s="2003"/>
      <c r="W17" s="2003"/>
      <c r="X17" s="2003"/>
      <c r="Y17" s="2003"/>
      <c r="Z17" s="2003"/>
      <c r="AA17" s="2003"/>
      <c r="AB17" s="2003"/>
      <c r="AC17" s="2004"/>
      <c r="AD17" s="2005"/>
      <c r="AE17" s="2005"/>
      <c r="AF17" s="2006"/>
    </row>
    <row r="18" spans="1:32" ht="15.6" customHeight="1" x14ac:dyDescent="0.15">
      <c r="A18" s="2003"/>
      <c r="B18" s="2003"/>
      <c r="C18" s="2003"/>
      <c r="D18" s="2003"/>
      <c r="E18" s="2003"/>
      <c r="F18" s="2003"/>
      <c r="G18" s="2003"/>
      <c r="H18" s="2003"/>
      <c r="I18" s="2003"/>
      <c r="J18" s="2003"/>
      <c r="K18" s="2003"/>
      <c r="L18" s="2003"/>
      <c r="M18" s="2003"/>
      <c r="N18" s="2003"/>
      <c r="O18" s="2003"/>
      <c r="P18" s="2003"/>
      <c r="Q18" s="2003"/>
      <c r="R18" s="2003"/>
      <c r="S18" s="2003"/>
      <c r="T18" s="2003"/>
      <c r="U18" s="2003"/>
      <c r="V18" s="2003"/>
      <c r="W18" s="2003"/>
      <c r="X18" s="2003"/>
      <c r="Y18" s="2003"/>
      <c r="Z18" s="2003"/>
      <c r="AA18" s="2003"/>
      <c r="AB18" s="2003"/>
      <c r="AC18" s="2004"/>
      <c r="AD18" s="2005"/>
      <c r="AE18" s="2005"/>
      <c r="AF18" s="2006"/>
    </row>
    <row r="19" spans="1:32" ht="15.6" customHeight="1" x14ac:dyDescent="0.15"/>
    <row r="20" spans="1:32" ht="15.6" customHeight="1" x14ac:dyDescent="0.15"/>
    <row r="21" spans="1:32" ht="15.6" customHeight="1" x14ac:dyDescent="0.15"/>
    <row r="22" spans="1:32" ht="15.6" customHeight="1" x14ac:dyDescent="0.15"/>
    <row r="23" spans="1:32" ht="15.6" customHeight="1" x14ac:dyDescent="0.15"/>
    <row r="24" spans="1:32" ht="15.6" customHeight="1" x14ac:dyDescent="0.15"/>
    <row r="25" spans="1:32" ht="15.6" customHeight="1" x14ac:dyDescent="0.15"/>
    <row r="26" spans="1:32" ht="15.6" customHeight="1" x14ac:dyDescent="0.15"/>
    <row r="27" spans="1:32" ht="15.6" customHeight="1" x14ac:dyDescent="0.15"/>
    <row r="28" spans="1:32" ht="15.6" customHeight="1" x14ac:dyDescent="0.15"/>
    <row r="29" spans="1:32" ht="15.6" customHeight="1" x14ac:dyDescent="0.15"/>
    <row r="30" spans="1:32" ht="15.6" customHeight="1" x14ac:dyDescent="0.15"/>
    <row r="31" spans="1:32" ht="15.6" customHeight="1" x14ac:dyDescent="0.15"/>
    <row r="32" spans="1:32" ht="15.6" customHeight="1" x14ac:dyDescent="0.15"/>
    <row r="33" ht="15.6" customHeight="1" x14ac:dyDescent="0.15"/>
    <row r="34" ht="15.6" customHeight="1" x14ac:dyDescent="0.15"/>
    <row r="35" ht="15.6" customHeight="1" x14ac:dyDescent="0.15"/>
    <row r="36" ht="15.6" customHeight="1" x14ac:dyDescent="0.15"/>
    <row r="37" ht="15.6" customHeight="1" x14ac:dyDescent="0.15"/>
    <row r="38" ht="15.6" customHeight="1" x14ac:dyDescent="0.15"/>
    <row r="39" ht="15.6" customHeight="1" x14ac:dyDescent="0.15"/>
    <row r="40" ht="15.6" customHeight="1" x14ac:dyDescent="0.15"/>
    <row r="41" ht="15.6" customHeight="1" x14ac:dyDescent="0.15"/>
    <row r="42" ht="15.6" customHeight="1" x14ac:dyDescent="0.15"/>
    <row r="43" ht="15.6" customHeight="1" x14ac:dyDescent="0.15"/>
    <row r="44" ht="15.6" customHeight="1" x14ac:dyDescent="0.15"/>
    <row r="45" ht="15.6" customHeight="1" x14ac:dyDescent="0.15"/>
    <row r="46" ht="15.6" customHeight="1" x14ac:dyDescent="0.15"/>
    <row r="47" ht="15.6" customHeight="1" x14ac:dyDescent="0.15"/>
    <row r="48" ht="15.6" customHeight="1" x14ac:dyDescent="0.15"/>
    <row r="49" ht="15.6" customHeight="1" x14ac:dyDescent="0.15"/>
    <row r="50" ht="15.6" customHeight="1" x14ac:dyDescent="0.15"/>
    <row r="51" ht="15.6" customHeight="1" x14ac:dyDescent="0.15"/>
  </sheetData>
  <mergeCells count="186">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 ref="A8:B8"/>
    <mergeCell ref="C8:D8"/>
    <mergeCell ref="E8:F8"/>
    <mergeCell ref="G8:H8"/>
    <mergeCell ref="I8:J8"/>
    <mergeCell ref="K8:L8"/>
    <mergeCell ref="M8:N8"/>
    <mergeCell ref="O8:P8"/>
    <mergeCell ref="Q8:R8"/>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A15:B15"/>
    <mergeCell ref="C15:D15"/>
    <mergeCell ref="E15:F15"/>
    <mergeCell ref="G15:H15"/>
    <mergeCell ref="I15:J15"/>
    <mergeCell ref="K15:L15"/>
    <mergeCell ref="M15:N15"/>
    <mergeCell ref="O15:P15"/>
    <mergeCell ref="O14:P14"/>
    <mergeCell ref="A16:B16"/>
    <mergeCell ref="C16:D16"/>
    <mergeCell ref="E16:F16"/>
    <mergeCell ref="G16:H16"/>
    <mergeCell ref="I16:J16"/>
    <mergeCell ref="K16:L16"/>
    <mergeCell ref="M16:N16"/>
    <mergeCell ref="O16:P16"/>
    <mergeCell ref="Q16:R16"/>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view="pageBreakPreview" zoomScaleNormal="100" zoomScaleSheetLayoutView="100" workbookViewId="0">
      <selection activeCell="S8" sqref="S8"/>
    </sheetView>
  </sheetViews>
  <sheetFormatPr defaultRowHeight="13.5" x14ac:dyDescent="0.15"/>
  <cols>
    <col min="1" max="51" width="2.625" style="66" customWidth="1"/>
  </cols>
  <sheetData>
    <row r="1" spans="1:33" s="63" customFormat="1" ht="15.6" customHeight="1" x14ac:dyDescent="0.15">
      <c r="A1" s="67" t="s">
        <v>1084</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row>
    <row r="2" spans="1:33" s="63" customFormat="1" ht="15.6"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row>
    <row r="3" spans="1:33" x14ac:dyDescent="0.15">
      <c r="A3" s="2008" t="s">
        <v>1081</v>
      </c>
      <c r="B3" s="2008"/>
      <c r="C3" s="2008"/>
      <c r="D3" s="2008"/>
      <c r="E3" s="2008"/>
      <c r="F3" s="2008"/>
      <c r="G3" s="2008"/>
      <c r="H3" s="2008"/>
      <c r="I3" s="2008"/>
      <c r="J3" s="2008"/>
      <c r="K3" s="2008"/>
      <c r="L3" s="2008"/>
      <c r="M3" s="2008"/>
      <c r="N3" s="2008"/>
      <c r="O3" s="2008"/>
      <c r="P3" s="2008"/>
      <c r="Q3" s="2008"/>
      <c r="R3" s="2008"/>
      <c r="S3" s="2008"/>
      <c r="T3" s="2008"/>
      <c r="U3" s="2008"/>
      <c r="V3" s="2008"/>
      <c r="W3" s="2008"/>
      <c r="X3" s="2008"/>
      <c r="Y3" s="2008"/>
      <c r="Z3" s="2008"/>
      <c r="AA3" s="2008"/>
      <c r="AB3" s="2008"/>
      <c r="AC3" s="2008"/>
      <c r="AD3" s="2008"/>
      <c r="AE3" s="2008"/>
      <c r="AF3" s="2008"/>
      <c r="AG3" s="2008"/>
    </row>
    <row r="4" spans="1:33" x14ac:dyDescent="0.15">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row>
    <row r="5" spans="1:33" x14ac:dyDescent="0.15">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row>
    <row r="6" spans="1:33" x14ac:dyDescent="0.15">
      <c r="A6" s="1787" t="s">
        <v>1104</v>
      </c>
      <c r="B6" s="1787"/>
      <c r="C6" s="1787"/>
      <c r="D6" s="1968" t="s">
        <v>1973</v>
      </c>
      <c r="E6" s="1968"/>
      <c r="F6" s="1968"/>
      <c r="G6" s="1968"/>
      <c r="H6" s="1968"/>
      <c r="I6" s="1968"/>
      <c r="J6" s="1968"/>
      <c r="K6" s="1968"/>
      <c r="L6" s="1968"/>
      <c r="M6" s="1968"/>
      <c r="N6" s="1968"/>
      <c r="O6" s="1968"/>
      <c r="P6" s="1968"/>
      <c r="Q6" s="1968"/>
      <c r="R6" s="1968"/>
      <c r="S6" s="1968"/>
      <c r="T6" s="1968"/>
      <c r="U6" s="1968"/>
      <c r="V6" s="1968"/>
      <c r="W6" s="1968"/>
      <c r="X6" s="1968"/>
      <c r="Y6" s="1968"/>
      <c r="Z6" s="1968"/>
      <c r="AA6" s="1968"/>
      <c r="AB6" s="1968"/>
      <c r="AC6" s="1968"/>
      <c r="AD6" s="1968"/>
      <c r="AE6" s="1968"/>
      <c r="AF6" s="1968"/>
      <c r="AG6" s="1968"/>
    </row>
    <row r="7" spans="1:33" x14ac:dyDescent="0.15">
      <c r="A7" s="1787"/>
      <c r="B7" s="1787"/>
      <c r="C7" s="1787"/>
      <c r="D7" s="1968"/>
      <c r="E7" s="1968"/>
      <c r="F7" s="1968"/>
      <c r="G7" s="1968"/>
      <c r="H7" s="1968"/>
      <c r="I7" s="1968"/>
      <c r="J7" s="1968"/>
      <c r="K7" s="1968"/>
      <c r="L7" s="1968"/>
      <c r="M7" s="1968"/>
      <c r="N7" s="1968"/>
      <c r="O7" s="1968"/>
      <c r="P7" s="1968"/>
      <c r="Q7" s="1968"/>
      <c r="R7" s="1968"/>
      <c r="S7" s="1968"/>
      <c r="T7" s="1968"/>
      <c r="U7" s="1968"/>
      <c r="V7" s="1968"/>
      <c r="W7" s="1968"/>
      <c r="X7" s="1968"/>
      <c r="Y7" s="1968"/>
      <c r="Z7" s="1968"/>
      <c r="AA7" s="1968"/>
      <c r="AB7" s="1968"/>
      <c r="AC7" s="1968"/>
      <c r="AD7" s="1968"/>
      <c r="AE7" s="1968"/>
      <c r="AF7" s="1968"/>
      <c r="AG7" s="1968"/>
    </row>
    <row r="8" spans="1:33" x14ac:dyDescent="0.15">
      <c r="A8" s="1787"/>
      <c r="B8" s="1787"/>
      <c r="C8" s="1787"/>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row>
    <row r="9" spans="1:33" x14ac:dyDescent="0.15">
      <c r="A9" s="1787" t="s">
        <v>1105</v>
      </c>
      <c r="B9" s="1787"/>
      <c r="C9" s="1787"/>
      <c r="D9" s="1787" t="s">
        <v>1106</v>
      </c>
      <c r="E9" s="1787"/>
      <c r="F9" s="1787"/>
      <c r="G9" s="1787"/>
      <c r="H9" s="1787"/>
      <c r="I9" s="1787"/>
      <c r="J9" s="1787"/>
      <c r="K9" s="1787"/>
      <c r="L9" s="1787"/>
      <c r="M9" s="1787"/>
      <c r="N9" s="1787"/>
      <c r="O9" s="1787"/>
      <c r="P9" s="1787"/>
      <c r="Q9" s="1787"/>
      <c r="R9" s="1787"/>
      <c r="S9" s="1787"/>
      <c r="T9" s="1787"/>
      <c r="U9" s="1787"/>
      <c r="V9" s="1787"/>
      <c r="W9" s="1787"/>
      <c r="X9" s="1787"/>
      <c r="Y9" s="1787"/>
      <c r="Z9" s="1787"/>
      <c r="AA9" s="1787"/>
      <c r="AB9" s="1787"/>
      <c r="AC9" s="1787"/>
      <c r="AD9" s="1787"/>
      <c r="AE9" s="1787"/>
      <c r="AF9" s="1787"/>
      <c r="AG9" s="1787"/>
    </row>
    <row r="10" spans="1:33" x14ac:dyDescent="0.15">
      <c r="A10" s="1787"/>
      <c r="B10" s="1787"/>
      <c r="C10" s="1787"/>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row>
    <row r="11" spans="1:33" x14ac:dyDescent="0.15">
      <c r="A11" s="1787" t="s">
        <v>1107</v>
      </c>
      <c r="B11" s="1787"/>
      <c r="C11" s="1787"/>
      <c r="D11" s="1968" t="s">
        <v>1974</v>
      </c>
      <c r="E11" s="1968"/>
      <c r="F11" s="1968"/>
      <c r="G11" s="1968"/>
      <c r="H11" s="1968"/>
      <c r="I11" s="1968"/>
      <c r="J11" s="1968"/>
      <c r="K11" s="1968"/>
      <c r="L11" s="1968"/>
      <c r="M11" s="1968"/>
      <c r="N11" s="1968"/>
      <c r="O11" s="1968"/>
      <c r="P11" s="1968"/>
      <c r="Q11" s="1968"/>
      <c r="R11" s="1968"/>
      <c r="S11" s="1968"/>
      <c r="T11" s="1968"/>
      <c r="U11" s="1968"/>
      <c r="V11" s="1968"/>
      <c r="W11" s="1968"/>
      <c r="X11" s="1968"/>
      <c r="Y11" s="1968"/>
      <c r="Z11" s="1968"/>
      <c r="AA11" s="1968"/>
      <c r="AB11" s="1968"/>
      <c r="AC11" s="1968"/>
      <c r="AD11" s="1968"/>
      <c r="AE11" s="1968"/>
      <c r="AF11" s="1968"/>
      <c r="AG11" s="1968"/>
    </row>
    <row r="12" spans="1:33" x14ac:dyDescent="0.15">
      <c r="A12" s="1787"/>
      <c r="B12" s="1787"/>
      <c r="C12" s="1787"/>
      <c r="D12" s="1968"/>
      <c r="E12" s="1968"/>
      <c r="F12" s="1968"/>
      <c r="G12" s="1968"/>
      <c r="H12" s="1968"/>
      <c r="I12" s="1968"/>
      <c r="J12" s="1968"/>
      <c r="K12" s="1968"/>
      <c r="L12" s="1968"/>
      <c r="M12" s="1968"/>
      <c r="N12" s="1968"/>
      <c r="O12" s="1968"/>
      <c r="P12" s="1968"/>
      <c r="Q12" s="1968"/>
      <c r="R12" s="1968"/>
      <c r="S12" s="1968"/>
      <c r="T12" s="1968"/>
      <c r="U12" s="1968"/>
      <c r="V12" s="1968"/>
      <c r="W12" s="1968"/>
      <c r="X12" s="1968"/>
      <c r="Y12" s="1968"/>
      <c r="Z12" s="1968"/>
      <c r="AA12" s="1968"/>
      <c r="AB12" s="1968"/>
      <c r="AC12" s="1968"/>
      <c r="AD12" s="1968"/>
      <c r="AE12" s="1968"/>
      <c r="AF12" s="1968"/>
      <c r="AG12" s="1968"/>
    </row>
    <row r="13" spans="1:33" x14ac:dyDescent="0.15">
      <c r="A13" s="1787"/>
      <c r="B13" s="1787"/>
      <c r="C13" s="1787"/>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row>
    <row r="14" spans="1:33" x14ac:dyDescent="0.15">
      <c r="A14" s="1787" t="s">
        <v>1108</v>
      </c>
      <c r="B14" s="1787"/>
      <c r="C14" s="1787"/>
      <c r="D14" s="1969" t="s">
        <v>1109</v>
      </c>
      <c r="E14" s="1969"/>
      <c r="F14" s="1969"/>
      <c r="G14" s="1969"/>
      <c r="H14" s="1969"/>
      <c r="I14" s="1969"/>
      <c r="J14" s="1969"/>
      <c r="K14" s="1969"/>
      <c r="L14" s="1969"/>
      <c r="M14" s="1969"/>
      <c r="N14" s="1969"/>
      <c r="O14" s="1969"/>
      <c r="P14" s="1969"/>
      <c r="Q14" s="1969"/>
      <c r="R14" s="1969"/>
      <c r="S14" s="1969"/>
      <c r="T14" s="1969"/>
      <c r="U14" s="1969"/>
      <c r="V14" s="1969"/>
      <c r="W14" s="1969"/>
      <c r="X14" s="1969"/>
      <c r="Y14" s="1969"/>
      <c r="Z14" s="1969"/>
      <c r="AA14" s="1969"/>
      <c r="AB14" s="1969"/>
      <c r="AC14" s="1969"/>
      <c r="AD14" s="1969"/>
      <c r="AE14" s="1969"/>
      <c r="AF14" s="1969"/>
      <c r="AG14" s="1969"/>
    </row>
    <row r="15" spans="1:33" x14ac:dyDescent="0.15">
      <c r="A15" s="1787"/>
      <c r="B15" s="1787"/>
      <c r="C15" s="1787"/>
      <c r="D15" s="203" t="s">
        <v>1110</v>
      </c>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row>
    <row r="16" spans="1:33" x14ac:dyDescent="0.15">
      <c r="A16" s="1787"/>
      <c r="B16" s="1787"/>
      <c r="C16" s="1787"/>
      <c r="D16" s="203" t="s">
        <v>1111</v>
      </c>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row>
    <row r="17" spans="1:33" x14ac:dyDescent="0.15">
      <c r="A17" s="1787"/>
      <c r="B17" s="1787"/>
      <c r="C17" s="1787"/>
      <c r="D17" s="1968" t="s">
        <v>1112</v>
      </c>
      <c r="E17" s="1968"/>
      <c r="F17" s="1968"/>
      <c r="G17" s="1968"/>
      <c r="H17" s="1968"/>
      <c r="I17" s="1968"/>
      <c r="J17" s="1968"/>
      <c r="K17" s="1968"/>
      <c r="L17" s="1968"/>
      <c r="M17" s="1968"/>
      <c r="N17" s="1968"/>
      <c r="O17" s="1968"/>
      <c r="P17" s="1968"/>
      <c r="Q17" s="1968"/>
      <c r="R17" s="1968"/>
      <c r="S17" s="1968"/>
      <c r="T17" s="1968"/>
      <c r="U17" s="1968"/>
      <c r="V17" s="1968"/>
      <c r="W17" s="1968"/>
      <c r="X17" s="1968"/>
      <c r="Y17" s="1968"/>
      <c r="Z17" s="1968"/>
      <c r="AA17" s="1968"/>
      <c r="AB17" s="1968"/>
      <c r="AC17" s="1968"/>
      <c r="AD17" s="1968"/>
      <c r="AE17" s="1968"/>
      <c r="AF17" s="1968"/>
      <c r="AG17" s="236"/>
    </row>
    <row r="18" spans="1:33" x14ac:dyDescent="0.15">
      <c r="A18" s="1787"/>
      <c r="B18" s="1787"/>
      <c r="C18" s="1787"/>
      <c r="D18" s="1968"/>
      <c r="E18" s="1968"/>
      <c r="F18" s="1968"/>
      <c r="G18" s="1968"/>
      <c r="H18" s="1968"/>
      <c r="I18" s="1968"/>
      <c r="J18" s="1968"/>
      <c r="K18" s="1968"/>
      <c r="L18" s="1968"/>
      <c r="M18" s="1968"/>
      <c r="N18" s="1968"/>
      <c r="O18" s="1968"/>
      <c r="P18" s="1968"/>
      <c r="Q18" s="1968"/>
      <c r="R18" s="1968"/>
      <c r="S18" s="1968"/>
      <c r="T18" s="1968"/>
      <c r="U18" s="1968"/>
      <c r="V18" s="1968"/>
      <c r="W18" s="1968"/>
      <c r="X18" s="1968"/>
      <c r="Y18" s="1968"/>
      <c r="Z18" s="1968"/>
      <c r="AA18" s="1968"/>
      <c r="AB18" s="1968"/>
      <c r="AC18" s="1968"/>
      <c r="AD18" s="1968"/>
      <c r="AE18" s="1968"/>
      <c r="AF18" s="1968"/>
      <c r="AG18" s="236"/>
    </row>
    <row r="19" spans="1:33" x14ac:dyDescent="0.15">
      <c r="A19" s="1787"/>
      <c r="B19" s="1787"/>
      <c r="C19" s="1787"/>
      <c r="D19" s="203" t="s">
        <v>1113</v>
      </c>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row>
    <row r="20" spans="1:33" x14ac:dyDescent="0.15">
      <c r="A20" s="1787"/>
      <c r="B20" s="1787"/>
      <c r="C20" s="1787"/>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row>
    <row r="21" spans="1:33" x14ac:dyDescent="0.15">
      <c r="A21" s="1787" t="s">
        <v>1114</v>
      </c>
      <c r="B21" s="1787"/>
      <c r="C21" s="1787"/>
      <c r="D21" s="1968" t="s">
        <v>1115</v>
      </c>
      <c r="E21" s="1968"/>
      <c r="F21" s="1968"/>
      <c r="G21" s="1968"/>
      <c r="H21" s="1968"/>
      <c r="I21" s="1968"/>
      <c r="J21" s="1968"/>
      <c r="K21" s="1968"/>
      <c r="L21" s="1968"/>
      <c r="M21" s="1968"/>
      <c r="N21" s="1968"/>
      <c r="O21" s="1968"/>
      <c r="P21" s="1968"/>
      <c r="Q21" s="1968"/>
      <c r="R21" s="1968"/>
      <c r="S21" s="1968"/>
      <c r="T21" s="1968"/>
      <c r="U21" s="1968"/>
      <c r="V21" s="1968"/>
      <c r="W21" s="1968"/>
      <c r="X21" s="1968"/>
      <c r="Y21" s="1968"/>
      <c r="Z21" s="1968"/>
      <c r="AA21" s="1968"/>
      <c r="AB21" s="1968"/>
      <c r="AC21" s="1968"/>
      <c r="AD21" s="1968"/>
      <c r="AE21" s="1968"/>
      <c r="AF21" s="1968"/>
      <c r="AG21" s="1968"/>
    </row>
    <row r="22" spans="1:33" x14ac:dyDescent="0.15">
      <c r="A22" s="1787"/>
      <c r="B22" s="1787"/>
      <c r="C22" s="1787"/>
      <c r="D22" s="1968"/>
      <c r="E22" s="1968"/>
      <c r="F22" s="1968"/>
      <c r="G22" s="1968"/>
      <c r="H22" s="1968"/>
      <c r="I22" s="1968"/>
      <c r="J22" s="1968"/>
      <c r="K22" s="1968"/>
      <c r="L22" s="1968"/>
      <c r="M22" s="1968"/>
      <c r="N22" s="1968"/>
      <c r="O22" s="1968"/>
      <c r="P22" s="1968"/>
      <c r="Q22" s="1968"/>
      <c r="R22" s="1968"/>
      <c r="S22" s="1968"/>
      <c r="T22" s="1968"/>
      <c r="U22" s="1968"/>
      <c r="V22" s="1968"/>
      <c r="W22" s="1968"/>
      <c r="X22" s="1968"/>
      <c r="Y22" s="1968"/>
      <c r="Z22" s="1968"/>
      <c r="AA22" s="1968"/>
      <c r="AB22" s="1968"/>
      <c r="AC22" s="1968"/>
      <c r="AD22" s="1968"/>
      <c r="AE22" s="1968"/>
      <c r="AF22" s="1968"/>
      <c r="AG22" s="1968"/>
    </row>
    <row r="23" spans="1:33" x14ac:dyDescent="0.15">
      <c r="A23" s="1787"/>
      <c r="B23" s="1787"/>
      <c r="C23" s="1787"/>
      <c r="D23" s="203" t="s">
        <v>1116</v>
      </c>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row>
    <row r="24" spans="1:33" x14ac:dyDescent="0.15">
      <c r="A24" s="1787"/>
      <c r="B24" s="1787"/>
      <c r="C24" s="1787"/>
      <c r="D24" s="203" t="s">
        <v>1117</v>
      </c>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row>
    <row r="25" spans="1:33" x14ac:dyDescent="0.15">
      <c r="A25" s="1787"/>
      <c r="B25" s="1787"/>
      <c r="C25" s="1787"/>
      <c r="D25" s="203" t="s">
        <v>1118</v>
      </c>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row>
    <row r="26" spans="1:33" x14ac:dyDescent="0.15">
      <c r="A26" s="1787"/>
      <c r="B26" s="1787"/>
      <c r="C26" s="1787"/>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row>
    <row r="27" spans="1:33" x14ac:dyDescent="0.15">
      <c r="A27" s="1787" t="s">
        <v>1119</v>
      </c>
      <c r="B27" s="1787"/>
      <c r="C27" s="1787"/>
      <c r="D27" s="1968" t="s">
        <v>1120</v>
      </c>
      <c r="E27" s="1968"/>
      <c r="F27" s="1968"/>
      <c r="G27" s="1968"/>
      <c r="H27" s="1968"/>
      <c r="I27" s="1968"/>
      <c r="J27" s="1968"/>
      <c r="K27" s="1968"/>
      <c r="L27" s="1968"/>
      <c r="M27" s="1968"/>
      <c r="N27" s="1968"/>
      <c r="O27" s="1968"/>
      <c r="P27" s="1968"/>
      <c r="Q27" s="1968"/>
      <c r="R27" s="1968"/>
      <c r="S27" s="1968"/>
      <c r="T27" s="1968"/>
      <c r="U27" s="1968"/>
      <c r="V27" s="1968"/>
      <c r="W27" s="1968"/>
      <c r="X27" s="1968"/>
      <c r="Y27" s="1968"/>
      <c r="Z27" s="1968"/>
      <c r="AA27" s="1968"/>
      <c r="AB27" s="1968"/>
      <c r="AC27" s="1968"/>
      <c r="AD27" s="1968"/>
      <c r="AE27" s="1968"/>
      <c r="AF27" s="1968"/>
      <c r="AG27" s="1968"/>
    </row>
    <row r="28" spans="1:33" x14ac:dyDescent="0.15">
      <c r="A28" s="1787"/>
      <c r="B28" s="1787"/>
      <c r="C28" s="1787"/>
      <c r="D28" s="1968"/>
      <c r="E28" s="1968"/>
      <c r="F28" s="1968"/>
      <c r="G28" s="1968"/>
      <c r="H28" s="1968"/>
      <c r="I28" s="1968"/>
      <c r="J28" s="1968"/>
      <c r="K28" s="1968"/>
      <c r="L28" s="1968"/>
      <c r="M28" s="1968"/>
      <c r="N28" s="1968"/>
      <c r="O28" s="1968"/>
      <c r="P28" s="1968"/>
      <c r="Q28" s="1968"/>
      <c r="R28" s="1968"/>
      <c r="S28" s="1968"/>
      <c r="T28" s="1968"/>
      <c r="U28" s="1968"/>
      <c r="V28" s="1968"/>
      <c r="W28" s="1968"/>
      <c r="X28" s="1968"/>
      <c r="Y28" s="1968"/>
      <c r="Z28" s="1968"/>
      <c r="AA28" s="1968"/>
      <c r="AB28" s="1968"/>
      <c r="AC28" s="1968"/>
      <c r="AD28" s="1968"/>
      <c r="AE28" s="1968"/>
      <c r="AF28" s="1968"/>
      <c r="AG28" s="1968"/>
    </row>
    <row r="29" spans="1:33" x14ac:dyDescent="0.15">
      <c r="A29" s="1787"/>
      <c r="B29" s="1787"/>
      <c r="C29" s="1787"/>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row>
    <row r="30" spans="1:33" x14ac:dyDescent="0.15">
      <c r="A30" s="1787"/>
      <c r="B30" s="1787"/>
      <c r="C30" s="1787"/>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row>
    <row r="31" spans="1:33" x14ac:dyDescent="0.15">
      <c r="A31" s="1787"/>
      <c r="B31" s="1787"/>
      <c r="C31" s="1787"/>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row>
    <row r="32" spans="1:33" x14ac:dyDescent="0.15">
      <c r="A32" s="1787"/>
      <c r="B32" s="1787"/>
      <c r="C32" s="1787"/>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row>
    <row r="33" spans="1:33" x14ac:dyDescent="0.15">
      <c r="A33" s="1787"/>
      <c r="B33" s="1787"/>
      <c r="C33" s="1787"/>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row>
    <row r="34" spans="1:33" ht="15.6" customHeight="1" x14ac:dyDescent="0.15">
      <c r="A34" s="1787"/>
      <c r="B34" s="1787"/>
      <c r="C34" s="1787"/>
    </row>
    <row r="35" spans="1:33" ht="15.6" customHeight="1" x14ac:dyDescent="0.15"/>
    <row r="36" spans="1:33" ht="15.6" customHeight="1" x14ac:dyDescent="0.15"/>
    <row r="37" spans="1:33" ht="15.6" customHeight="1" x14ac:dyDescent="0.15"/>
    <row r="38" spans="1:33" ht="15.6" customHeight="1" x14ac:dyDescent="0.15"/>
    <row r="39" spans="1:33" ht="15.6" customHeight="1" x14ac:dyDescent="0.15"/>
    <row r="40" spans="1:33" ht="15.6" customHeight="1" x14ac:dyDescent="0.15"/>
    <row r="41" spans="1:33" ht="15.6" customHeight="1" x14ac:dyDescent="0.15"/>
    <row r="42" spans="1:33" ht="15.6" customHeight="1" x14ac:dyDescent="0.15"/>
    <row r="43" spans="1:33" ht="15.6" customHeight="1" x14ac:dyDescent="0.15"/>
    <row r="44" spans="1:33" ht="15.6" customHeight="1" x14ac:dyDescent="0.15"/>
    <row r="45" spans="1:33" ht="15.6" customHeight="1" x14ac:dyDescent="0.15"/>
    <row r="46" spans="1:33" ht="15.6" customHeight="1" x14ac:dyDescent="0.15"/>
    <row r="47" spans="1:33" ht="15.6" customHeight="1" x14ac:dyDescent="0.15"/>
    <row r="48" spans="1:33" ht="15.6" customHeight="1" x14ac:dyDescent="0.15"/>
    <row r="49" ht="15.6" customHeight="1" x14ac:dyDescent="0.15"/>
    <row r="50" ht="15.6" customHeight="1" x14ac:dyDescent="0.15"/>
    <row r="51" ht="15.6" customHeight="1" x14ac:dyDescent="0.15"/>
    <row r="52" ht="15.6" customHeight="1" x14ac:dyDescent="0.15"/>
    <row r="53" ht="15.6" customHeight="1" x14ac:dyDescent="0.15"/>
    <row r="54" ht="15.6" customHeight="1" x14ac:dyDescent="0.15"/>
    <row r="55" ht="15.6" customHeight="1" x14ac:dyDescent="0.15"/>
    <row r="56" ht="15.6" customHeight="1" x14ac:dyDescent="0.15"/>
    <row r="57" ht="15.6" customHeight="1" x14ac:dyDescent="0.15"/>
    <row r="58" ht="15.6" customHeight="1" x14ac:dyDescent="0.15"/>
    <row r="59" ht="15.6" customHeight="1" x14ac:dyDescent="0.15"/>
    <row r="60" ht="15.6" customHeight="1" x14ac:dyDescent="0.15"/>
    <row r="61" ht="15.6" customHeight="1" x14ac:dyDescent="0.15"/>
    <row r="62" ht="15.6" customHeight="1" x14ac:dyDescent="0.15"/>
    <row r="63" ht="15.6" customHeight="1" x14ac:dyDescent="0.15"/>
    <row r="64" ht="15.6" customHeight="1" x14ac:dyDescent="0.15"/>
    <row r="65" ht="15.6" customHeight="1" x14ac:dyDescent="0.15"/>
    <row r="66" ht="15.6" customHeight="1" x14ac:dyDescent="0.15"/>
  </sheetData>
  <mergeCells count="37">
    <mergeCell ref="A9:C9"/>
    <mergeCell ref="D9:AG9"/>
    <mergeCell ref="A3:AG3"/>
    <mergeCell ref="A6:C6"/>
    <mergeCell ref="D6:AG7"/>
    <mergeCell ref="A7:C7"/>
    <mergeCell ref="A8:C8"/>
    <mergeCell ref="A19:C19"/>
    <mergeCell ref="A10:C10"/>
    <mergeCell ref="A11:C11"/>
    <mergeCell ref="D11:AG12"/>
    <mergeCell ref="A12:C12"/>
    <mergeCell ref="A13:C13"/>
    <mergeCell ref="A14:C14"/>
    <mergeCell ref="D14:AG14"/>
    <mergeCell ref="A15:C15"/>
    <mergeCell ref="A16:C16"/>
    <mergeCell ref="A17:C17"/>
    <mergeCell ref="D17:AF18"/>
    <mergeCell ref="A18:C18"/>
    <mergeCell ref="A29:C29"/>
    <mergeCell ref="A20:C20"/>
    <mergeCell ref="A21:C21"/>
    <mergeCell ref="D21:AG22"/>
    <mergeCell ref="A22:C22"/>
    <mergeCell ref="A23:C23"/>
    <mergeCell ref="A24:C24"/>
    <mergeCell ref="A25:C25"/>
    <mergeCell ref="A26:C26"/>
    <mergeCell ref="A27:C27"/>
    <mergeCell ref="D27:AG28"/>
    <mergeCell ref="A28:C28"/>
    <mergeCell ref="A30:C30"/>
    <mergeCell ref="A31:C31"/>
    <mergeCell ref="A32:C32"/>
    <mergeCell ref="A33:C33"/>
    <mergeCell ref="A34:C34"/>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showGridLines="0" view="pageBreakPreview" zoomScale="122" zoomScaleNormal="100" zoomScaleSheetLayoutView="100" workbookViewId="0">
      <selection activeCell="S8" sqref="S8"/>
    </sheetView>
  </sheetViews>
  <sheetFormatPr defaultRowHeight="13.5" x14ac:dyDescent="0.15"/>
  <cols>
    <col min="1" max="51" width="2.625" style="66" customWidth="1"/>
  </cols>
  <sheetData>
    <row r="1" spans="1:33" s="63" customFormat="1" ht="15.6" customHeight="1" x14ac:dyDescent="0.15">
      <c r="A1" s="67" t="s">
        <v>1103</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row>
    <row r="2" spans="1:33" x14ac:dyDescent="0.15">
      <c r="A2" s="2008" t="s">
        <v>1082</v>
      </c>
      <c r="B2" s="2008"/>
      <c r="C2" s="2008"/>
      <c r="D2" s="2008"/>
      <c r="E2" s="2008"/>
      <c r="F2" s="2008"/>
      <c r="G2" s="2008"/>
      <c r="H2" s="2008"/>
      <c r="I2" s="2008"/>
      <c r="J2" s="2008"/>
      <c r="K2" s="2008"/>
      <c r="L2" s="2008"/>
      <c r="M2" s="2008"/>
      <c r="N2" s="2008"/>
      <c r="O2" s="2008"/>
      <c r="P2" s="2008"/>
      <c r="Q2" s="2008"/>
      <c r="R2" s="2008"/>
      <c r="S2" s="2008"/>
      <c r="T2" s="2008"/>
      <c r="U2" s="2008"/>
      <c r="V2" s="2008"/>
      <c r="W2" s="2008"/>
      <c r="X2" s="2008"/>
      <c r="Y2" s="2008"/>
      <c r="Z2" s="2008"/>
      <c r="AA2" s="2008"/>
      <c r="AB2" s="2008"/>
      <c r="AC2" s="2008"/>
      <c r="AD2" s="2008"/>
      <c r="AE2" s="2008"/>
      <c r="AF2" s="2008"/>
      <c r="AG2" s="2008"/>
    </row>
    <row r="3" spans="1:33" x14ac:dyDescent="0.15">
      <c r="A3" s="236"/>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row>
    <row r="4" spans="1:33" ht="60" customHeight="1" x14ac:dyDescent="0.15">
      <c r="A4" s="2011" t="s">
        <v>1121</v>
      </c>
      <c r="B4" s="2011"/>
      <c r="C4" s="2011"/>
      <c r="D4" s="2011"/>
      <c r="E4" s="2011"/>
      <c r="F4" s="2011"/>
      <c r="G4" s="1810"/>
      <c r="H4" s="1810"/>
      <c r="I4" s="1810"/>
      <c r="J4" s="1810"/>
      <c r="K4" s="1810"/>
      <c r="L4" s="1810"/>
      <c r="M4" s="1810"/>
      <c r="N4" s="1810"/>
      <c r="O4" s="1810"/>
      <c r="P4" s="1810"/>
      <c r="Q4" s="1810"/>
      <c r="R4" s="1810"/>
      <c r="S4" s="1810"/>
      <c r="T4" s="1810"/>
      <c r="U4" s="1810"/>
      <c r="V4" s="1810"/>
      <c r="W4" s="1810"/>
      <c r="X4" s="1810"/>
      <c r="Y4" s="1810"/>
      <c r="Z4" s="1810"/>
      <c r="AA4" s="1810"/>
      <c r="AB4" s="1810"/>
      <c r="AC4" s="1810"/>
      <c r="AD4" s="1810"/>
      <c r="AE4" s="1810"/>
      <c r="AF4" s="1810"/>
      <c r="AG4" s="1810"/>
    </row>
    <row r="5" spans="1:33" ht="60" customHeight="1" x14ac:dyDescent="0.15">
      <c r="A5" s="2011" t="s">
        <v>1122</v>
      </c>
      <c r="B5" s="2011"/>
      <c r="C5" s="2011"/>
      <c r="D5" s="2011"/>
      <c r="E5" s="2011"/>
      <c r="F5" s="2011"/>
      <c r="G5" s="1810"/>
      <c r="H5" s="1810"/>
      <c r="I5" s="1810"/>
      <c r="J5" s="1810"/>
      <c r="K5" s="1810"/>
      <c r="L5" s="1810"/>
      <c r="M5" s="1810"/>
      <c r="N5" s="1810"/>
      <c r="O5" s="1810"/>
      <c r="P5" s="1810"/>
      <c r="Q5" s="1810"/>
      <c r="R5" s="1810"/>
      <c r="S5" s="1810"/>
      <c r="T5" s="1810"/>
      <c r="U5" s="1810"/>
      <c r="V5" s="1810"/>
      <c r="W5" s="1810"/>
      <c r="X5" s="1810"/>
      <c r="Y5" s="1810"/>
      <c r="Z5" s="1810"/>
      <c r="AA5" s="1810"/>
      <c r="AB5" s="1810"/>
      <c r="AC5" s="1810"/>
      <c r="AD5" s="1810"/>
      <c r="AE5" s="1810"/>
      <c r="AF5" s="1810"/>
      <c r="AG5" s="1810"/>
    </row>
    <row r="6" spans="1:33" x14ac:dyDescent="0.15">
      <c r="A6" s="2011" t="s">
        <v>1123</v>
      </c>
      <c r="B6" s="2011"/>
      <c r="C6" s="2011"/>
      <c r="D6" s="2011"/>
      <c r="E6" s="2011"/>
      <c r="F6" s="2011"/>
      <c r="G6" s="2034" t="s">
        <v>1124</v>
      </c>
      <c r="H6" s="2035"/>
      <c r="I6" s="2035"/>
      <c r="J6" s="2035"/>
      <c r="K6" s="2035"/>
      <c r="L6" s="2035"/>
      <c r="M6" s="2035"/>
      <c r="N6" s="2035"/>
      <c r="O6" s="2035"/>
      <c r="P6" s="2035"/>
      <c r="Q6" s="2035"/>
      <c r="R6" s="2035"/>
      <c r="S6" s="2035"/>
      <c r="T6" s="2035"/>
      <c r="U6" s="2035"/>
      <c r="V6" s="2035"/>
      <c r="W6" s="2035"/>
      <c r="X6" s="2035"/>
      <c r="Y6" s="2035"/>
      <c r="Z6" s="2035"/>
      <c r="AA6" s="2035"/>
      <c r="AB6" s="2035"/>
      <c r="AC6" s="2035"/>
      <c r="AD6" s="2035"/>
      <c r="AE6" s="2035"/>
      <c r="AF6" s="2035"/>
      <c r="AG6" s="2036"/>
    </row>
    <row r="7" spans="1:33" x14ac:dyDescent="0.15">
      <c r="A7" s="2011"/>
      <c r="B7" s="2011"/>
      <c r="C7" s="2011"/>
      <c r="D7" s="2011"/>
      <c r="E7" s="2011"/>
      <c r="F7" s="2011"/>
      <c r="G7" s="2037" t="s">
        <v>1125</v>
      </c>
      <c r="H7" s="2038"/>
      <c r="I7" s="2038"/>
      <c r="J7" s="2038"/>
      <c r="K7" s="2038"/>
      <c r="L7" s="2038"/>
      <c r="M7" s="2038"/>
      <c r="N7" s="2038"/>
      <c r="O7" s="2038"/>
      <c r="P7" s="2038"/>
      <c r="Q7" s="2038"/>
      <c r="R7" s="2038"/>
      <c r="S7" s="2038"/>
      <c r="T7" s="2038"/>
      <c r="U7" s="2038"/>
      <c r="V7" s="2038"/>
      <c r="W7" s="2038"/>
      <c r="X7" s="2038"/>
      <c r="Y7" s="2038"/>
      <c r="Z7" s="2038"/>
      <c r="AA7" s="2038"/>
      <c r="AB7" s="2038"/>
      <c r="AC7" s="2038"/>
      <c r="AD7" s="2038"/>
      <c r="AE7" s="2038"/>
      <c r="AF7" s="2038"/>
      <c r="AG7" s="2039"/>
    </row>
    <row r="8" spans="1:33" x14ac:dyDescent="0.15">
      <c r="A8" s="2011" t="s">
        <v>1126</v>
      </c>
      <c r="B8" s="2011"/>
      <c r="C8" s="2011"/>
      <c r="D8" s="2011"/>
      <c r="E8" s="2011"/>
      <c r="F8" s="2011"/>
      <c r="G8" s="2020" t="s">
        <v>1127</v>
      </c>
      <c r="H8" s="2021"/>
      <c r="I8" s="2021"/>
      <c r="J8" s="2021"/>
      <c r="K8" s="2021"/>
      <c r="L8" s="2021"/>
      <c r="M8" s="2021"/>
      <c r="N8" s="2021"/>
      <c r="O8" s="2021"/>
      <c r="P8" s="2021"/>
      <c r="Q8" s="2021"/>
      <c r="R8" s="2021"/>
      <c r="S8" s="2021"/>
      <c r="T8" s="2021"/>
      <c r="U8" s="2021"/>
      <c r="V8" s="2021"/>
      <c r="W8" s="2021"/>
      <c r="X8" s="2021"/>
      <c r="Y8" s="2021"/>
      <c r="Z8" s="2021"/>
      <c r="AA8" s="2021"/>
      <c r="AB8" s="2021"/>
      <c r="AC8" s="2021"/>
      <c r="AD8" s="2022">
        <v>0</v>
      </c>
      <c r="AE8" s="2023"/>
      <c r="AF8" s="2023"/>
      <c r="AG8" s="2024"/>
    </row>
    <row r="9" spans="1:33" x14ac:dyDescent="0.15">
      <c r="A9" s="2011"/>
      <c r="B9" s="2011"/>
      <c r="C9" s="2011"/>
      <c r="D9" s="2011"/>
      <c r="E9" s="2011"/>
      <c r="F9" s="2011"/>
      <c r="G9" s="2025" t="s">
        <v>1127</v>
      </c>
      <c r="H9" s="2026"/>
      <c r="I9" s="2026"/>
      <c r="J9" s="2026"/>
      <c r="K9" s="2026"/>
      <c r="L9" s="2026"/>
      <c r="M9" s="2026"/>
      <c r="N9" s="2026"/>
      <c r="O9" s="2026"/>
      <c r="P9" s="2026"/>
      <c r="Q9" s="2026"/>
      <c r="R9" s="2026"/>
      <c r="S9" s="2026"/>
      <c r="T9" s="2026"/>
      <c r="U9" s="2026"/>
      <c r="V9" s="2026"/>
      <c r="W9" s="2026"/>
      <c r="X9" s="2026"/>
      <c r="Y9" s="2026"/>
      <c r="Z9" s="2026"/>
      <c r="AA9" s="2026"/>
      <c r="AB9" s="2026"/>
      <c r="AC9" s="2026"/>
      <c r="AD9" s="2027">
        <v>0</v>
      </c>
      <c r="AE9" s="2028"/>
      <c r="AF9" s="2028"/>
      <c r="AG9" s="2029"/>
    </row>
    <row r="10" spans="1:33" x14ac:dyDescent="0.15">
      <c r="A10" s="2011"/>
      <c r="B10" s="2011"/>
      <c r="C10" s="2011"/>
      <c r="D10" s="2011"/>
      <c r="E10" s="2011"/>
      <c r="F10" s="2011"/>
      <c r="G10" s="2025" t="s">
        <v>1127</v>
      </c>
      <c r="H10" s="2026"/>
      <c r="I10" s="2026"/>
      <c r="J10" s="2026"/>
      <c r="K10" s="2026"/>
      <c r="L10" s="2026"/>
      <c r="M10" s="2026"/>
      <c r="N10" s="2026"/>
      <c r="O10" s="2026"/>
      <c r="P10" s="2026"/>
      <c r="Q10" s="2026"/>
      <c r="R10" s="2026"/>
      <c r="S10" s="2026"/>
      <c r="T10" s="2026"/>
      <c r="U10" s="2026"/>
      <c r="V10" s="2026"/>
      <c r="W10" s="2026"/>
      <c r="X10" s="2026"/>
      <c r="Y10" s="2026"/>
      <c r="Z10" s="2026"/>
      <c r="AA10" s="2026"/>
      <c r="AB10" s="2026"/>
      <c r="AC10" s="2026"/>
      <c r="AD10" s="2027">
        <v>0</v>
      </c>
      <c r="AE10" s="2028"/>
      <c r="AF10" s="2028"/>
      <c r="AG10" s="2029"/>
    </row>
    <row r="11" spans="1:33" x14ac:dyDescent="0.15">
      <c r="A11" s="2011"/>
      <c r="B11" s="2011"/>
      <c r="C11" s="2011"/>
      <c r="D11" s="2011"/>
      <c r="E11" s="2011"/>
      <c r="F11" s="2011"/>
      <c r="G11" s="2030" t="s">
        <v>1128</v>
      </c>
      <c r="H11" s="2031"/>
      <c r="I11" s="2031"/>
      <c r="J11" s="2031"/>
      <c r="K11" s="2031"/>
      <c r="L11" s="2031"/>
      <c r="M11" s="2031"/>
      <c r="N11" s="2031"/>
      <c r="O11" s="2031"/>
      <c r="P11" s="2031"/>
      <c r="Q11" s="2031"/>
      <c r="R11" s="2031"/>
      <c r="S11" s="2031"/>
      <c r="T11" s="2031"/>
      <c r="U11" s="2031"/>
      <c r="V11" s="2031"/>
      <c r="W11" s="2031"/>
      <c r="X11" s="2031"/>
      <c r="Y11" s="2031"/>
      <c r="Z11" s="2031"/>
      <c r="AA11" s="2031"/>
      <c r="AB11" s="2031"/>
      <c r="AC11" s="2031"/>
      <c r="AD11" s="2032">
        <f>SUM(AD8:AG10)</f>
        <v>0</v>
      </c>
      <c r="AE11" s="2032"/>
      <c r="AF11" s="2032"/>
      <c r="AG11" s="2033"/>
    </row>
    <row r="12" spans="1:33" ht="60" customHeight="1" x14ac:dyDescent="0.15">
      <c r="A12" s="2011" t="s">
        <v>1129</v>
      </c>
      <c r="B12" s="2011"/>
      <c r="C12" s="2011"/>
      <c r="D12" s="2011"/>
      <c r="E12" s="2011"/>
      <c r="F12" s="2011"/>
      <c r="G12" s="2012" t="s">
        <v>1130</v>
      </c>
      <c r="H12" s="2013"/>
      <c r="I12" s="2013"/>
      <c r="J12" s="2013"/>
      <c r="K12" s="2013"/>
      <c r="L12" s="2013"/>
      <c r="M12" s="2013"/>
      <c r="N12" s="2013"/>
      <c r="O12" s="2013" t="s">
        <v>1131</v>
      </c>
      <c r="P12" s="2013"/>
      <c r="Q12" s="2013"/>
      <c r="R12" s="2013"/>
      <c r="S12" s="2013"/>
      <c r="T12" s="2013"/>
      <c r="U12" s="2013"/>
      <c r="V12" s="2013"/>
      <c r="W12" s="2013"/>
      <c r="X12" s="2013" t="s">
        <v>1132</v>
      </c>
      <c r="Y12" s="2013"/>
      <c r="Z12" s="2013"/>
      <c r="AA12" s="2013"/>
      <c r="AB12" s="2013"/>
      <c r="AC12" s="2013"/>
      <c r="AD12" s="2013"/>
      <c r="AE12" s="2013"/>
      <c r="AF12" s="2013"/>
      <c r="AG12" s="2014"/>
    </row>
    <row r="13" spans="1:33" ht="60" customHeight="1" x14ac:dyDescent="0.15">
      <c r="A13" s="2011"/>
      <c r="B13" s="2011"/>
      <c r="C13" s="2011"/>
      <c r="D13" s="2011"/>
      <c r="E13" s="2011"/>
      <c r="F13" s="2011"/>
      <c r="G13" s="2015" t="s">
        <v>1133</v>
      </c>
      <c r="H13" s="2016"/>
      <c r="I13" s="2016"/>
      <c r="J13" s="2016"/>
      <c r="K13" s="2016"/>
      <c r="L13" s="2016"/>
      <c r="M13" s="2016"/>
      <c r="N13" s="2016"/>
      <c r="O13" s="2016" t="s">
        <v>1131</v>
      </c>
      <c r="P13" s="2016"/>
      <c r="Q13" s="2016"/>
      <c r="R13" s="2016"/>
      <c r="S13" s="2016"/>
      <c r="T13" s="2016"/>
      <c r="U13" s="2016"/>
      <c r="V13" s="2016"/>
      <c r="W13" s="2016"/>
      <c r="X13" s="2016" t="s">
        <v>1132</v>
      </c>
      <c r="Y13" s="2016"/>
      <c r="Z13" s="2016"/>
      <c r="AA13" s="2016"/>
      <c r="AB13" s="2016"/>
      <c r="AC13" s="2016"/>
      <c r="AD13" s="2016"/>
      <c r="AE13" s="2016"/>
      <c r="AF13" s="2016"/>
      <c r="AG13" s="2017"/>
    </row>
    <row r="14" spans="1:33" ht="18" customHeight="1" x14ac:dyDescent="0.15">
      <c r="A14" s="2011" t="s">
        <v>1134</v>
      </c>
      <c r="B14" s="2011"/>
      <c r="C14" s="2011"/>
      <c r="D14" s="2011"/>
      <c r="E14" s="2011"/>
      <c r="F14" s="2011"/>
      <c r="G14" s="2018"/>
      <c r="H14" s="2019"/>
      <c r="I14" s="2019"/>
      <c r="J14" s="2019"/>
      <c r="K14" s="2019"/>
      <c r="L14" s="2019"/>
      <c r="M14" s="2019"/>
      <c r="N14" s="2019"/>
      <c r="O14" s="932" t="s">
        <v>1135</v>
      </c>
      <c r="P14" s="932"/>
      <c r="Q14" s="932"/>
      <c r="R14" s="932"/>
      <c r="S14" s="932"/>
      <c r="T14" s="932"/>
      <c r="U14" s="932"/>
      <c r="V14" s="932"/>
      <c r="W14" s="932"/>
      <c r="X14" s="932"/>
      <c r="Y14" s="932"/>
      <c r="Z14" s="932"/>
      <c r="AA14" s="932"/>
      <c r="AB14" s="932"/>
      <c r="AC14" s="932"/>
      <c r="AD14" s="932"/>
      <c r="AE14" s="932"/>
      <c r="AF14" s="932"/>
      <c r="AG14" s="933"/>
    </row>
    <row r="15" spans="1:33" ht="60" customHeight="1" x14ac:dyDescent="0.15">
      <c r="A15" s="2011" t="s">
        <v>1136</v>
      </c>
      <c r="B15" s="2011"/>
      <c r="C15" s="2011"/>
      <c r="D15" s="2011"/>
      <c r="E15" s="2011"/>
      <c r="F15" s="2011"/>
      <c r="G15" s="1810"/>
      <c r="H15" s="1810"/>
      <c r="I15" s="1810"/>
      <c r="J15" s="1810"/>
      <c r="K15" s="1810"/>
      <c r="L15" s="1810"/>
      <c r="M15" s="1810"/>
      <c r="N15" s="1810"/>
      <c r="O15" s="1810"/>
      <c r="P15" s="1810"/>
      <c r="Q15" s="1810"/>
      <c r="R15" s="1810"/>
      <c r="S15" s="1810"/>
      <c r="T15" s="1810"/>
      <c r="U15" s="1810"/>
      <c r="V15" s="1810"/>
      <c r="W15" s="1810"/>
      <c r="X15" s="1810"/>
      <c r="Y15" s="1810"/>
      <c r="Z15" s="1810"/>
      <c r="AA15" s="1810"/>
      <c r="AB15" s="1810"/>
      <c r="AC15" s="1810"/>
      <c r="AD15" s="1810"/>
      <c r="AE15" s="1810"/>
      <c r="AF15" s="1810"/>
      <c r="AG15" s="1810"/>
    </row>
    <row r="16" spans="1:33" ht="18" customHeight="1" x14ac:dyDescent="0.15">
      <c r="A16" s="203" t="s">
        <v>1137</v>
      </c>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row>
    <row r="17" spans="1:33" x14ac:dyDescent="0.15">
      <c r="A17" s="203" t="s">
        <v>1138</v>
      </c>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row>
    <row r="18" spans="1:33" x14ac:dyDescent="0.15">
      <c r="A18" s="203" t="s">
        <v>1139</v>
      </c>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row>
    <row r="19" spans="1:33" x14ac:dyDescent="0.15">
      <c r="A19" s="1968" t="s">
        <v>1140</v>
      </c>
      <c r="B19" s="1969"/>
      <c r="C19" s="1969"/>
      <c r="D19" s="1969"/>
      <c r="E19" s="1969"/>
      <c r="F19" s="1969"/>
      <c r="G19" s="1969"/>
      <c r="H19" s="1969"/>
      <c r="I19" s="1969"/>
      <c r="J19" s="1969"/>
      <c r="K19" s="1969"/>
      <c r="L19" s="1969"/>
      <c r="M19" s="1969"/>
      <c r="N19" s="1969"/>
      <c r="O19" s="1969"/>
      <c r="P19" s="1969"/>
      <c r="Q19" s="1969"/>
      <c r="R19" s="1969"/>
      <c r="S19" s="1969"/>
      <c r="T19" s="1969"/>
      <c r="U19" s="1969"/>
      <c r="V19" s="1969"/>
      <c r="W19" s="1969"/>
      <c r="X19" s="1969"/>
      <c r="Y19" s="1969"/>
      <c r="Z19" s="1969"/>
      <c r="AA19" s="1969"/>
      <c r="AB19" s="1969"/>
      <c r="AC19" s="1969"/>
      <c r="AD19" s="1969"/>
      <c r="AE19" s="1969"/>
      <c r="AF19" s="1969"/>
      <c r="AG19" s="1969"/>
    </row>
    <row r="20" spans="1:33" x14ac:dyDescent="0.15">
      <c r="A20" s="1968" t="s">
        <v>1141</v>
      </c>
      <c r="B20" s="1968"/>
      <c r="C20" s="1968"/>
      <c r="D20" s="1968"/>
      <c r="E20" s="1968"/>
      <c r="F20" s="1968"/>
      <c r="G20" s="1968"/>
      <c r="H20" s="1968"/>
      <c r="I20" s="1968"/>
      <c r="J20" s="1968"/>
      <c r="K20" s="1968"/>
      <c r="L20" s="1968"/>
      <c r="M20" s="1968"/>
      <c r="N20" s="1968"/>
      <c r="O20" s="1968"/>
      <c r="P20" s="1968"/>
      <c r="Q20" s="1968"/>
      <c r="R20" s="1968"/>
      <c r="S20" s="1968"/>
      <c r="T20" s="1968"/>
      <c r="U20" s="1968"/>
      <c r="V20" s="1968"/>
      <c r="W20" s="1968"/>
      <c r="X20" s="1968"/>
      <c r="Y20" s="1968"/>
      <c r="Z20" s="1968"/>
      <c r="AA20" s="1968"/>
      <c r="AB20" s="1968"/>
      <c r="AC20" s="1968"/>
      <c r="AD20" s="1968"/>
      <c r="AE20" s="1968"/>
      <c r="AF20" s="1968"/>
      <c r="AG20" s="1968"/>
    </row>
    <row r="21" spans="1:33" x14ac:dyDescent="0.15">
      <c r="A21" s="1968"/>
      <c r="B21" s="1968"/>
      <c r="C21" s="1968"/>
      <c r="D21" s="1968"/>
      <c r="E21" s="1968"/>
      <c r="F21" s="1968"/>
      <c r="G21" s="1968"/>
      <c r="H21" s="1968"/>
      <c r="I21" s="1968"/>
      <c r="J21" s="1968"/>
      <c r="K21" s="1968"/>
      <c r="L21" s="1968"/>
      <c r="M21" s="1968"/>
      <c r="N21" s="1968"/>
      <c r="O21" s="1968"/>
      <c r="P21" s="1968"/>
      <c r="Q21" s="1968"/>
      <c r="R21" s="1968"/>
      <c r="S21" s="1968"/>
      <c r="T21" s="1968"/>
      <c r="U21" s="1968"/>
      <c r="V21" s="1968"/>
      <c r="W21" s="1968"/>
      <c r="X21" s="1968"/>
      <c r="Y21" s="1968"/>
      <c r="Z21" s="1968"/>
      <c r="AA21" s="1968"/>
      <c r="AB21" s="1968"/>
      <c r="AC21" s="1968"/>
      <c r="AD21" s="1968"/>
      <c r="AE21" s="1968"/>
      <c r="AF21" s="1968"/>
      <c r="AG21" s="1968"/>
    </row>
    <row r="22" spans="1:33" x14ac:dyDescent="0.15">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row>
    <row r="23" spans="1:33" ht="15.6" customHeight="1" x14ac:dyDescent="0.15"/>
    <row r="24" spans="1:33" ht="15.6" customHeight="1" x14ac:dyDescent="0.15"/>
    <row r="25" spans="1:33" ht="15.6" customHeight="1" x14ac:dyDescent="0.15"/>
    <row r="26" spans="1:33" ht="15.6" customHeight="1" x14ac:dyDescent="0.15"/>
    <row r="27" spans="1:33" ht="15.6" customHeight="1" x14ac:dyDescent="0.15"/>
    <row r="28" spans="1:33" ht="15.6" customHeight="1" x14ac:dyDescent="0.15"/>
    <row r="29" spans="1:33" ht="15.6" customHeight="1" x14ac:dyDescent="0.15"/>
    <row r="30" spans="1:33" ht="15.6" customHeight="1" x14ac:dyDescent="0.15"/>
    <row r="31" spans="1:33" ht="15.6" customHeight="1" x14ac:dyDescent="0.15"/>
    <row r="32" spans="1:33" ht="15.6" customHeight="1" x14ac:dyDescent="0.15"/>
    <row r="33" ht="15.6" customHeight="1" x14ac:dyDescent="0.15"/>
    <row r="34" ht="15.6" customHeight="1" x14ac:dyDescent="0.15"/>
    <row r="35" ht="15.6" customHeight="1" x14ac:dyDescent="0.15"/>
    <row r="36" ht="15.6" customHeight="1" x14ac:dyDescent="0.15"/>
    <row r="37" ht="15.6" customHeight="1" x14ac:dyDescent="0.15"/>
    <row r="38" ht="15.6" customHeight="1" x14ac:dyDescent="0.15"/>
    <row r="39" ht="15.6" customHeight="1" x14ac:dyDescent="0.15"/>
    <row r="40" ht="15.6" customHeight="1" x14ac:dyDescent="0.15"/>
    <row r="41" ht="15.6" customHeight="1" x14ac:dyDescent="0.15"/>
    <row r="42" ht="15.6" customHeight="1" x14ac:dyDescent="0.15"/>
    <row r="43" ht="15.6" customHeight="1" x14ac:dyDescent="0.15"/>
    <row r="44" ht="15.6" customHeight="1" x14ac:dyDescent="0.15"/>
    <row r="45" ht="15.6" customHeight="1" x14ac:dyDescent="0.15"/>
    <row r="46" ht="15.6" customHeight="1" x14ac:dyDescent="0.15"/>
    <row r="47" ht="15.6" customHeight="1" x14ac:dyDescent="0.15"/>
    <row r="48" ht="15.6" customHeight="1" x14ac:dyDescent="0.15"/>
    <row r="49" ht="15.6" customHeight="1" x14ac:dyDescent="0.15"/>
    <row r="50" ht="15.6" customHeight="1" x14ac:dyDescent="0.15"/>
    <row r="51" ht="15.6" customHeight="1" x14ac:dyDescent="0.15"/>
    <row r="52" ht="15.6" customHeight="1" x14ac:dyDescent="0.15"/>
    <row r="53" ht="15.6" customHeight="1" x14ac:dyDescent="0.15"/>
    <row r="54" ht="15.6" customHeight="1" x14ac:dyDescent="0.15"/>
    <row r="55" ht="15.6" customHeight="1" x14ac:dyDescent="0.15"/>
  </sheetData>
  <mergeCells count="30">
    <mergeCell ref="A6:F7"/>
    <mergeCell ref="G6:AG6"/>
    <mergeCell ref="G7:AG7"/>
    <mergeCell ref="A2:AG2"/>
    <mergeCell ref="A4:F4"/>
    <mergeCell ref="G4:AG4"/>
    <mergeCell ref="A5:F5"/>
    <mergeCell ref="G5:AG5"/>
    <mergeCell ref="A8:F11"/>
    <mergeCell ref="G8:AC8"/>
    <mergeCell ref="AD8:AG8"/>
    <mergeCell ref="G9:AC9"/>
    <mergeCell ref="AD9:AG9"/>
    <mergeCell ref="G10:AC10"/>
    <mergeCell ref="AD10:AG10"/>
    <mergeCell ref="G11:AC11"/>
    <mergeCell ref="AD11:AG11"/>
    <mergeCell ref="A20:AG21"/>
    <mergeCell ref="A12:F13"/>
    <mergeCell ref="G12:N12"/>
    <mergeCell ref="O12:W12"/>
    <mergeCell ref="X12:AG12"/>
    <mergeCell ref="G13:N13"/>
    <mergeCell ref="O13:W13"/>
    <mergeCell ref="X13:AG13"/>
    <mergeCell ref="A14:F14"/>
    <mergeCell ref="A15:F15"/>
    <mergeCell ref="G15:AG15"/>
    <mergeCell ref="A19:AG19"/>
    <mergeCell ref="G14:N14"/>
  </mergeCells>
  <phoneticPr fontId="3"/>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118" zoomScaleNormal="100" zoomScaleSheetLayoutView="90" workbookViewId="0">
      <selection activeCell="S8" sqref="S8"/>
    </sheetView>
  </sheetViews>
  <sheetFormatPr defaultRowHeight="13.5" x14ac:dyDescent="0.15"/>
  <cols>
    <col min="1" max="51" width="2.625" style="66" customWidth="1"/>
  </cols>
  <sheetData>
    <row r="1" spans="1:51" s="63" customFormat="1" ht="15.6" customHeight="1" x14ac:dyDescent="0.15">
      <c r="A1" s="67" t="s">
        <v>2227</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row>
    <row r="2" spans="1:51" s="63" customFormat="1" ht="15.6"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row>
    <row r="3" spans="1:51" s="66" customFormat="1" ht="15.6" customHeight="1" x14ac:dyDescent="0.15">
      <c r="Z3" s="2040" t="s">
        <v>1142</v>
      </c>
      <c r="AA3" s="2040"/>
      <c r="AB3" s="2040"/>
      <c r="AC3" s="2040"/>
      <c r="AD3" s="2040"/>
      <c r="AE3" s="2040"/>
    </row>
    <row r="4" spans="1:51" ht="15.6" customHeight="1" x14ac:dyDescent="0.15">
      <c r="Z4" s="2040" t="s">
        <v>1143</v>
      </c>
      <c r="AA4" s="2040"/>
      <c r="AB4" s="2040"/>
      <c r="AC4" s="2040"/>
      <c r="AD4" s="2040"/>
      <c r="AE4" s="2040"/>
      <c r="AG4" s="225"/>
    </row>
    <row r="5" spans="1:51" ht="15.6" customHeight="1" x14ac:dyDescent="0.15">
      <c r="Z5" s="225"/>
      <c r="AA5" s="225"/>
      <c r="AB5" s="225"/>
      <c r="AC5" s="225"/>
      <c r="AD5" s="225"/>
      <c r="AE5" s="225"/>
      <c r="AG5" s="225"/>
    </row>
    <row r="6" spans="1:51" ht="15.6" customHeight="1" x14ac:dyDescent="0.15">
      <c r="B6" s="66" t="s">
        <v>1144</v>
      </c>
      <c r="M6" s="221"/>
    </row>
    <row r="7" spans="1:51" ht="15.6" customHeight="1" x14ac:dyDescent="0.15"/>
    <row r="8" spans="1:51" ht="15.6" customHeight="1" x14ac:dyDescent="0.15">
      <c r="V8"/>
      <c r="W8" s="1975" t="str">
        <f>はじめに!D5</f>
        <v>真庭集落協定</v>
      </c>
      <c r="X8" s="1975"/>
      <c r="Y8" s="1975"/>
      <c r="Z8" s="1975"/>
      <c r="AA8" s="1975"/>
      <c r="AB8" s="1975"/>
      <c r="AC8" s="1975"/>
      <c r="AD8" s="1975"/>
      <c r="AE8" s="1975"/>
      <c r="AY8"/>
    </row>
    <row r="9" spans="1:51" ht="15.6" customHeight="1" x14ac:dyDescent="0.15">
      <c r="W9" s="1975" t="str">
        <f>はじめに!D6</f>
        <v>真庭　太郎</v>
      </c>
      <c r="X9" s="1975"/>
      <c r="Y9" s="1975"/>
      <c r="Z9" s="1975"/>
      <c r="AA9" s="1975"/>
      <c r="AB9" s="1975"/>
      <c r="AC9" s="1975"/>
      <c r="AD9" s="1975"/>
      <c r="AE9" s="1975"/>
    </row>
    <row r="10" spans="1:51" ht="15.6" customHeight="1" x14ac:dyDescent="0.15">
      <c r="W10" s="225"/>
      <c r="X10" s="225"/>
      <c r="Y10" s="225"/>
      <c r="Z10" s="225"/>
      <c r="AA10" s="225"/>
      <c r="AB10" s="225"/>
      <c r="AC10" s="225"/>
      <c r="AD10" s="225"/>
      <c r="AE10" s="225"/>
      <c r="AF10" s="225"/>
    </row>
    <row r="11" spans="1:51" ht="15.6" customHeight="1" x14ac:dyDescent="0.15"/>
    <row r="12" spans="1:51" ht="15.6" customHeight="1" x14ac:dyDescent="0.15">
      <c r="A12" s="1787" t="s">
        <v>1975</v>
      </c>
      <c r="B12" s="1787"/>
      <c r="C12" s="1787"/>
      <c r="D12" s="1787"/>
      <c r="E12" s="1787"/>
      <c r="F12" s="1787"/>
      <c r="G12" s="1787"/>
      <c r="H12" s="1787"/>
      <c r="I12" s="1787"/>
      <c r="J12" s="1787"/>
      <c r="K12" s="1787"/>
      <c r="L12" s="1787"/>
      <c r="M12" s="1787"/>
      <c r="N12" s="1787"/>
      <c r="O12" s="1787"/>
      <c r="P12" s="1787"/>
      <c r="Q12" s="1787"/>
      <c r="R12" s="1787"/>
      <c r="S12" s="1787"/>
      <c r="T12" s="1787"/>
      <c r="U12" s="1787"/>
      <c r="V12" s="1787"/>
      <c r="W12" s="1787"/>
      <c r="X12" s="1787"/>
      <c r="Y12" s="1787"/>
      <c r="Z12" s="1787"/>
      <c r="AA12" s="1787"/>
      <c r="AB12" s="1787"/>
      <c r="AC12" s="1787"/>
      <c r="AD12" s="1787"/>
      <c r="AE12" s="1787"/>
      <c r="AF12" s="1787"/>
      <c r="AG12" s="1787"/>
    </row>
    <row r="13" spans="1:51" ht="15.6" customHeight="1" x14ac:dyDescent="0.15"/>
    <row r="14" spans="1:51" ht="15.6" customHeight="1" x14ac:dyDescent="0.15">
      <c r="A14" s="1968" t="s">
        <v>1145</v>
      </c>
      <c r="B14" s="1969"/>
      <c r="C14" s="1969"/>
      <c r="D14" s="1969"/>
      <c r="E14" s="1969"/>
      <c r="F14" s="1969"/>
      <c r="G14" s="1969"/>
      <c r="H14" s="1969"/>
      <c r="I14" s="1969"/>
      <c r="J14" s="1969"/>
      <c r="K14" s="1969"/>
      <c r="L14" s="1969"/>
      <c r="M14" s="1969"/>
      <c r="N14" s="1969"/>
      <c r="O14" s="1969"/>
      <c r="P14" s="1969"/>
      <c r="Q14" s="1969"/>
      <c r="R14" s="1969"/>
      <c r="S14" s="1969"/>
      <c r="T14" s="1969"/>
      <c r="U14" s="1969"/>
      <c r="V14" s="1969"/>
      <c r="W14" s="1969"/>
      <c r="X14" s="1969"/>
      <c r="Y14" s="1969"/>
      <c r="Z14" s="1969"/>
      <c r="AA14" s="1969"/>
      <c r="AB14" s="1969"/>
      <c r="AC14" s="1969"/>
      <c r="AD14" s="1969"/>
      <c r="AE14" s="1969"/>
      <c r="AF14" s="1969"/>
      <c r="AG14" s="1969"/>
    </row>
    <row r="15" spans="1:51" ht="15.6" customHeight="1" x14ac:dyDescent="0.15">
      <c r="A15" s="1969"/>
      <c r="B15" s="1969"/>
      <c r="C15" s="1969"/>
      <c r="D15" s="1969"/>
      <c r="E15" s="1969"/>
      <c r="F15" s="1969"/>
      <c r="G15" s="1969"/>
      <c r="H15" s="1969"/>
      <c r="I15" s="1969"/>
      <c r="J15" s="1969"/>
      <c r="K15" s="1969"/>
      <c r="L15" s="1969"/>
      <c r="M15" s="1969"/>
      <c r="N15" s="1969"/>
      <c r="O15" s="1969"/>
      <c r="P15" s="1969"/>
      <c r="Q15" s="1969"/>
      <c r="R15" s="1969"/>
      <c r="S15" s="1969"/>
      <c r="T15" s="1969"/>
      <c r="U15" s="1969"/>
      <c r="V15" s="1969"/>
      <c r="W15" s="1969"/>
      <c r="X15" s="1969"/>
      <c r="Y15" s="1969"/>
      <c r="Z15" s="1969"/>
      <c r="AA15" s="1969"/>
      <c r="AB15" s="1969"/>
      <c r="AC15" s="1969"/>
      <c r="AD15" s="1969"/>
      <c r="AE15" s="1969"/>
      <c r="AF15" s="1969"/>
      <c r="AG15" s="1969"/>
    </row>
    <row r="16" spans="1:51" ht="15.6" customHeight="1" x14ac:dyDescent="0.15">
      <c r="A16" s="1969"/>
      <c r="B16" s="1969"/>
      <c r="C16" s="1969"/>
      <c r="D16" s="1969"/>
      <c r="E16" s="1969"/>
      <c r="F16" s="1969"/>
      <c r="G16" s="1969"/>
      <c r="H16" s="1969"/>
      <c r="I16" s="1969"/>
      <c r="J16" s="1969"/>
      <c r="K16" s="1969"/>
      <c r="L16" s="1969"/>
      <c r="M16" s="1969"/>
      <c r="N16" s="1969"/>
      <c r="O16" s="1969"/>
      <c r="P16" s="1969"/>
      <c r="Q16" s="1969"/>
      <c r="R16" s="1969"/>
      <c r="S16" s="1969"/>
      <c r="T16" s="1969"/>
      <c r="U16" s="1969"/>
      <c r="V16" s="1969"/>
      <c r="W16" s="1969"/>
      <c r="X16" s="1969"/>
      <c r="Y16" s="1969"/>
      <c r="Z16" s="1969"/>
      <c r="AA16" s="1969"/>
      <c r="AB16" s="1969"/>
      <c r="AC16" s="1969"/>
      <c r="AD16" s="1969"/>
      <c r="AE16" s="1969"/>
      <c r="AF16" s="1969"/>
      <c r="AG16" s="1969"/>
    </row>
    <row r="17" spans="1:33" ht="15.6" customHeight="1" x14ac:dyDescent="0.15">
      <c r="A17" s="1969"/>
      <c r="B17" s="1969"/>
      <c r="C17" s="1969"/>
      <c r="D17" s="1969"/>
      <c r="E17" s="1969"/>
      <c r="F17" s="1969"/>
      <c r="G17" s="1969"/>
      <c r="H17" s="1969"/>
      <c r="I17" s="1969"/>
      <c r="J17" s="1969"/>
      <c r="K17" s="1969"/>
      <c r="L17" s="1969"/>
      <c r="M17" s="1969"/>
      <c r="N17" s="1969"/>
      <c r="O17" s="1969"/>
      <c r="P17" s="1969"/>
      <c r="Q17" s="1969"/>
      <c r="R17" s="1969"/>
      <c r="S17" s="1969"/>
      <c r="T17" s="1969"/>
      <c r="U17" s="1969"/>
      <c r="V17" s="1969"/>
      <c r="W17" s="1969"/>
      <c r="X17" s="1969"/>
      <c r="Y17" s="1969"/>
      <c r="Z17" s="1969"/>
      <c r="AA17" s="1969"/>
      <c r="AB17" s="1969"/>
      <c r="AC17" s="1969"/>
      <c r="AD17" s="1969"/>
      <c r="AE17" s="1969"/>
      <c r="AF17" s="1969"/>
      <c r="AG17" s="1969"/>
    </row>
    <row r="18" spans="1:33" ht="15.6" customHeight="1" x14ac:dyDescent="0.15"/>
    <row r="19" spans="1:33" ht="15.6" customHeight="1" x14ac:dyDescent="0.15"/>
    <row r="20" spans="1:33" ht="15.6" customHeight="1" x14ac:dyDescent="0.15"/>
    <row r="21" spans="1:33" ht="15.6" customHeight="1" x14ac:dyDescent="0.15"/>
    <row r="22" spans="1:33" ht="15.6" customHeight="1" x14ac:dyDescent="0.15"/>
    <row r="23" spans="1:33" ht="15.6" customHeight="1" x14ac:dyDescent="0.15"/>
    <row r="24" spans="1:33" ht="15.6" customHeight="1" x14ac:dyDescent="0.15"/>
    <row r="25" spans="1:33" ht="15.6" customHeight="1" x14ac:dyDescent="0.15"/>
    <row r="26" spans="1:33" ht="15.6" customHeight="1" x14ac:dyDescent="0.15"/>
    <row r="27" spans="1:33" ht="15.6" customHeight="1" x14ac:dyDescent="0.15"/>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showGridLines="0" view="pageBreakPreview" zoomScale="96" zoomScaleNormal="100" zoomScaleSheetLayoutView="100" workbookViewId="0">
      <selection activeCell="S8" sqref="S8"/>
    </sheetView>
  </sheetViews>
  <sheetFormatPr defaultRowHeight="13.5" x14ac:dyDescent="0.15"/>
  <cols>
    <col min="1" max="1" width="1.625" style="66" customWidth="1"/>
    <col min="2" max="2" width="10.75" style="66" customWidth="1"/>
    <col min="3" max="3" width="7.5" style="66" customWidth="1"/>
    <col min="4" max="5" width="5.625" style="66" customWidth="1"/>
    <col min="6" max="6" width="5.875" style="66" customWidth="1"/>
    <col min="7" max="8" width="5.625" style="66" customWidth="1"/>
    <col min="9" max="9" width="5.875" style="66" customWidth="1"/>
    <col min="10" max="11" width="5.625" style="66" customWidth="1"/>
    <col min="12" max="12" width="6" style="66" customWidth="1"/>
    <col min="13" max="14" width="5.625" style="66" customWidth="1"/>
    <col min="15" max="15" width="5.75" style="66" customWidth="1"/>
    <col min="16" max="16" width="1.375" style="66" customWidth="1"/>
    <col min="17" max="34" width="2.5" style="66" customWidth="1"/>
    <col min="35" max="52" width="2.625" style="66" customWidth="1"/>
  </cols>
  <sheetData>
    <row r="1" spans="1:52" s="63" customFormat="1" ht="15" customHeight="1" x14ac:dyDescent="0.15">
      <c r="A1" s="2064" t="s">
        <v>1146</v>
      </c>
      <c r="B1" s="2064"/>
      <c r="C1" s="2064"/>
      <c r="D1" s="2064"/>
      <c r="E1" s="2064"/>
      <c r="F1" s="2064"/>
      <c r="G1" s="2064"/>
      <c r="H1" s="2064"/>
      <c r="I1" s="2064"/>
      <c r="J1" s="2064"/>
      <c r="K1" s="2064"/>
      <c r="L1" s="2064"/>
      <c r="M1" s="2064"/>
      <c r="N1" s="2064"/>
      <c r="O1" s="2064"/>
      <c r="P1" s="2064"/>
      <c r="Q1" s="2064"/>
      <c r="R1" s="2064"/>
      <c r="S1" s="2064"/>
      <c r="T1" s="2064"/>
      <c r="U1" s="2064"/>
      <c r="V1" s="2064"/>
      <c r="W1" s="2064"/>
      <c r="X1" s="2064"/>
      <c r="Y1" s="2064"/>
      <c r="Z1" s="2064"/>
      <c r="AA1" s="2064"/>
      <c r="AB1" s="2064"/>
      <c r="AC1" s="2064"/>
      <c r="AD1" s="2064"/>
      <c r="AE1" s="2064"/>
      <c r="AF1" s="2064"/>
      <c r="AG1" s="2064"/>
    </row>
    <row r="2" spans="1:52" s="63" customFormat="1" ht="15" customHeight="1" x14ac:dyDescent="0.15">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row>
    <row r="3" spans="1:52" s="63" customFormat="1" ht="15.6" customHeight="1" x14ac:dyDescent="0.15">
      <c r="B3" s="328" t="s">
        <v>1147</v>
      </c>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row>
    <row r="4" spans="1:52" s="12" customFormat="1" ht="15.6" customHeight="1" x14ac:dyDescent="0.15">
      <c r="A4" s="66"/>
      <c r="B4" s="329"/>
      <c r="C4" s="329"/>
      <c r="D4" s="2059" t="s">
        <v>1148</v>
      </c>
      <c r="E4" s="2059"/>
      <c r="F4" s="2059"/>
      <c r="G4" s="2060" t="str">
        <f>別紙１①!G6</f>
        <v>あいうえおかつどうそしき</v>
      </c>
      <c r="H4" s="2061"/>
      <c r="I4" s="2061"/>
      <c r="J4" s="2061"/>
      <c r="K4" s="2061"/>
      <c r="L4" s="2062"/>
      <c r="M4" s="236"/>
      <c r="N4" s="236"/>
      <c r="O4" s="236"/>
      <c r="P4" s="236"/>
      <c r="Q4" s="236"/>
      <c r="R4" s="236"/>
      <c r="S4" s="236"/>
      <c r="T4" s="236"/>
      <c r="U4" s="236"/>
      <c r="AB4" s="66"/>
      <c r="AC4" s="66"/>
      <c r="AD4" s="66"/>
      <c r="AE4" s="66"/>
      <c r="AF4" s="66"/>
      <c r="AG4" s="66"/>
      <c r="AH4" s="66"/>
      <c r="AI4" s="63"/>
      <c r="AJ4" s="63"/>
      <c r="AK4" s="63"/>
      <c r="AL4" s="63"/>
      <c r="AM4" s="63"/>
      <c r="AN4" s="63"/>
      <c r="AO4" s="63"/>
      <c r="AP4" s="63"/>
      <c r="AQ4" s="63"/>
      <c r="AR4" s="63"/>
      <c r="AS4" s="63"/>
      <c r="AT4" s="63"/>
      <c r="AU4" s="63"/>
      <c r="AV4" s="63"/>
      <c r="AW4" s="63"/>
      <c r="AX4" s="63"/>
      <c r="AY4" s="63"/>
      <c r="AZ4" s="63"/>
    </row>
    <row r="5" spans="1:52" ht="15" customHeight="1" x14ac:dyDescent="0.15">
      <c r="B5" s="203"/>
      <c r="C5" s="203"/>
      <c r="D5" s="2065" t="s">
        <v>1149</v>
      </c>
      <c r="E5" s="2065"/>
      <c r="F5" s="2065"/>
      <c r="G5" s="2066" t="str">
        <f>別紙１①!G7</f>
        <v>真庭集落協定</v>
      </c>
      <c r="H5" s="2067"/>
      <c r="I5" s="2067"/>
      <c r="J5" s="2067"/>
      <c r="K5" s="2067"/>
      <c r="L5" s="2068"/>
      <c r="M5" s="236"/>
      <c r="N5" s="236"/>
      <c r="O5" s="236"/>
      <c r="P5" s="236"/>
      <c r="Q5" s="236"/>
      <c r="R5" s="236"/>
      <c r="S5" s="236"/>
      <c r="T5" s="236"/>
      <c r="U5" s="236"/>
    </row>
    <row r="6" spans="1:52" ht="15" customHeight="1" x14ac:dyDescent="0.15">
      <c r="B6" s="329"/>
      <c r="C6" s="329"/>
      <c r="D6" s="2059" t="s">
        <v>1148</v>
      </c>
      <c r="E6" s="2059"/>
      <c r="F6" s="2059"/>
      <c r="G6" s="2060" t="str">
        <f>別紙１①!G9</f>
        <v>ちゅうさんかん　たろう</v>
      </c>
      <c r="H6" s="2061"/>
      <c r="I6" s="2061"/>
      <c r="J6" s="2061"/>
      <c r="K6" s="2061"/>
      <c r="L6" s="2062"/>
      <c r="M6" s="236"/>
      <c r="N6" s="236"/>
      <c r="O6" s="236"/>
      <c r="P6" s="236"/>
      <c r="Q6" s="236"/>
      <c r="R6" s="236"/>
      <c r="S6" s="236"/>
      <c r="T6" s="236"/>
      <c r="U6" s="236"/>
    </row>
    <row r="7" spans="1:52" ht="15" customHeight="1" x14ac:dyDescent="0.15">
      <c r="B7" s="203"/>
      <c r="C7" s="203"/>
      <c r="D7" s="2065" t="s">
        <v>1150</v>
      </c>
      <c r="E7" s="2065"/>
      <c r="F7" s="2065"/>
      <c r="G7" s="2066" t="str">
        <f>別紙１①!G10</f>
        <v>真庭　太郎</v>
      </c>
      <c r="H7" s="2067"/>
      <c r="I7" s="2067"/>
      <c r="J7" s="2067"/>
      <c r="K7" s="2067"/>
      <c r="L7" s="2068"/>
      <c r="M7" s="236"/>
      <c r="N7" s="236"/>
      <c r="O7" s="236"/>
      <c r="P7" s="236"/>
      <c r="Q7" s="236"/>
      <c r="R7" s="236"/>
      <c r="S7" s="236"/>
      <c r="T7" s="236"/>
      <c r="U7" s="236"/>
    </row>
    <row r="8" spans="1:52" ht="15" customHeight="1" x14ac:dyDescent="0.15">
      <c r="B8" s="329"/>
      <c r="C8" s="329"/>
      <c r="D8" s="2059" t="s">
        <v>1148</v>
      </c>
      <c r="E8" s="2059"/>
      <c r="F8" s="2059"/>
      <c r="G8" s="2060" t="str">
        <f>別紙１①!G12</f>
        <v>まるけんさんかくしまるちょう</v>
      </c>
      <c r="H8" s="2061"/>
      <c r="I8" s="2061"/>
      <c r="J8" s="2061"/>
      <c r="K8" s="2061"/>
      <c r="L8" s="2062"/>
      <c r="M8" s="236"/>
      <c r="N8" s="236"/>
      <c r="O8" s="236"/>
      <c r="P8" s="236"/>
      <c r="Q8" s="236"/>
      <c r="R8" s="236"/>
      <c r="S8" s="236"/>
      <c r="T8" s="236"/>
      <c r="U8" s="236"/>
    </row>
    <row r="9" spans="1:52" ht="15" customHeight="1" x14ac:dyDescent="0.15">
      <c r="B9" s="203"/>
      <c r="C9" s="203"/>
      <c r="D9" s="2065" t="s">
        <v>11</v>
      </c>
      <c r="E9" s="2065"/>
      <c r="F9" s="2065"/>
      <c r="G9" s="2066" t="str">
        <f>別紙１①!G13</f>
        <v>岡山県真庭市久世2927ｰ2</v>
      </c>
      <c r="H9" s="2067"/>
      <c r="I9" s="2067"/>
      <c r="J9" s="2067"/>
      <c r="K9" s="2067"/>
      <c r="L9" s="2068"/>
      <c r="M9" s="236"/>
      <c r="N9" s="236"/>
      <c r="O9" s="236"/>
      <c r="P9" s="236"/>
      <c r="Q9" s="236"/>
      <c r="R9" s="236"/>
      <c r="S9" s="236"/>
      <c r="T9" s="236"/>
      <c r="U9" s="236"/>
    </row>
    <row r="10" spans="1:52" ht="15" customHeight="1" x14ac:dyDescent="0.15"/>
    <row r="11" spans="1:52" ht="15" customHeight="1" x14ac:dyDescent="0.15">
      <c r="B11" s="66" t="s">
        <v>1151</v>
      </c>
    </row>
    <row r="12" spans="1:52" ht="15" customHeight="1" x14ac:dyDescent="0.15">
      <c r="B12" s="66" t="s">
        <v>1152</v>
      </c>
      <c r="M12" s="66" t="s">
        <v>1153</v>
      </c>
    </row>
    <row r="13" spans="1:52" ht="15" customHeight="1" x14ac:dyDescent="0.15">
      <c r="B13" s="2046" t="s">
        <v>1154</v>
      </c>
      <c r="C13" s="1789"/>
      <c r="D13" s="1790"/>
      <c r="E13" s="1790"/>
      <c r="F13" s="1790"/>
      <c r="G13" s="1790"/>
      <c r="H13" s="1790"/>
      <c r="I13" s="1790"/>
      <c r="J13" s="1790"/>
      <c r="K13" s="1790"/>
      <c r="L13" s="1790"/>
      <c r="M13" s="1790"/>
      <c r="N13" s="1790"/>
      <c r="O13" s="1791"/>
    </row>
    <row r="14" spans="1:52" s="66" customFormat="1" ht="27.75" customHeight="1" x14ac:dyDescent="0.15">
      <c r="B14" s="2069"/>
      <c r="C14" s="2054" t="s">
        <v>1155</v>
      </c>
      <c r="D14" s="2056" t="s">
        <v>3</v>
      </c>
      <c r="E14" s="2057"/>
      <c r="F14" s="2058"/>
      <c r="G14" s="2056" t="s">
        <v>6</v>
      </c>
      <c r="H14" s="2057"/>
      <c r="I14" s="2058"/>
      <c r="J14" s="2056" t="s">
        <v>5</v>
      </c>
      <c r="K14" s="2057"/>
      <c r="L14" s="2058"/>
      <c r="M14" s="2056" t="s">
        <v>20</v>
      </c>
      <c r="N14" s="2057"/>
      <c r="O14" s="2058"/>
    </row>
    <row r="15" spans="1:52" s="66" customFormat="1" ht="29.25" customHeight="1" x14ac:dyDescent="0.15">
      <c r="B15" s="2047"/>
      <c r="C15" s="2055"/>
      <c r="D15" s="330" t="s">
        <v>1156</v>
      </c>
      <c r="E15" s="330" t="s">
        <v>1157</v>
      </c>
      <c r="F15" s="330" t="s">
        <v>1158</v>
      </c>
      <c r="G15" s="330" t="s">
        <v>1156</v>
      </c>
      <c r="H15" s="330" t="s">
        <v>1157</v>
      </c>
      <c r="I15" s="330" t="s">
        <v>1158</v>
      </c>
      <c r="J15" s="330" t="s">
        <v>1156</v>
      </c>
      <c r="K15" s="330" t="s">
        <v>1157</v>
      </c>
      <c r="L15" s="330" t="s">
        <v>1158</v>
      </c>
      <c r="M15" s="330" t="s">
        <v>1156</v>
      </c>
      <c r="N15" s="330" t="s">
        <v>1157</v>
      </c>
      <c r="O15" s="330" t="s">
        <v>1158</v>
      </c>
    </row>
    <row r="16" spans="1:52" s="66" customFormat="1" ht="15" customHeight="1" x14ac:dyDescent="0.15">
      <c r="B16" s="2046" t="s">
        <v>206</v>
      </c>
      <c r="C16" s="331" t="s">
        <v>1159</v>
      </c>
      <c r="D16" s="332" t="s">
        <v>1159</v>
      </c>
      <c r="E16" s="2051">
        <v>16800</v>
      </c>
      <c r="F16" s="2052">
        <f>D17*E16</f>
        <v>0</v>
      </c>
      <c r="G16" s="331" t="s">
        <v>1159</v>
      </c>
      <c r="H16" s="2051">
        <v>9200</v>
      </c>
      <c r="I16" s="2052">
        <f>G17*H16</f>
        <v>0</v>
      </c>
      <c r="J16" s="332" t="s">
        <v>1159</v>
      </c>
      <c r="K16" s="2051">
        <v>8400</v>
      </c>
      <c r="L16" s="2052">
        <f>J17*K16</f>
        <v>0</v>
      </c>
      <c r="M16" s="331" t="s">
        <v>1159</v>
      </c>
      <c r="N16" s="2048">
        <v>800</v>
      </c>
      <c r="O16" s="2052">
        <f>M17*N16</f>
        <v>0</v>
      </c>
    </row>
    <row r="17" spans="1:52" s="66" customFormat="1" ht="15" customHeight="1" x14ac:dyDescent="0.15">
      <c r="B17" s="2047"/>
      <c r="C17" s="792">
        <f>D17+G17+J17+M17</f>
        <v>0</v>
      </c>
      <c r="D17" s="334"/>
      <c r="E17" s="2049"/>
      <c r="F17" s="2053"/>
      <c r="G17" s="333"/>
      <c r="H17" s="2049"/>
      <c r="I17" s="2053"/>
      <c r="J17" s="334"/>
      <c r="K17" s="2049"/>
      <c r="L17" s="2053"/>
      <c r="M17" s="333"/>
      <c r="N17" s="2049"/>
      <c r="O17" s="2053"/>
    </row>
    <row r="18" spans="1:52" s="66" customFormat="1" ht="15" customHeight="1" x14ac:dyDescent="0.15">
      <c r="B18" s="2050" t="s">
        <v>1160</v>
      </c>
      <c r="C18" s="332" t="s">
        <v>1159</v>
      </c>
      <c r="D18" s="332" t="s">
        <v>1159</v>
      </c>
      <c r="E18" s="2051">
        <v>6400</v>
      </c>
      <c r="F18" s="2052">
        <f>D19*E18</f>
        <v>0</v>
      </c>
      <c r="G18" s="332" t="s">
        <v>1159</v>
      </c>
      <c r="H18" s="2051">
        <v>2800</v>
      </c>
      <c r="I18" s="2052">
        <f>G19*H18</f>
        <v>0</v>
      </c>
      <c r="J18" s="331" t="s">
        <v>1159</v>
      </c>
      <c r="K18" s="2051">
        <v>2400</v>
      </c>
      <c r="L18" s="2052">
        <f>J19*K18</f>
        <v>0</v>
      </c>
      <c r="M18" s="331" t="s">
        <v>1159</v>
      </c>
      <c r="N18" s="2048">
        <v>240</v>
      </c>
      <c r="O18" s="2052">
        <f>M19*N18</f>
        <v>0</v>
      </c>
    </row>
    <row r="19" spans="1:52" s="66" customFormat="1" ht="15" customHeight="1" x14ac:dyDescent="0.15">
      <c r="B19" s="2047"/>
      <c r="C19" s="792">
        <f>D19+G19+J19+M19</f>
        <v>0</v>
      </c>
      <c r="D19" s="334"/>
      <c r="E19" s="2049"/>
      <c r="F19" s="2053"/>
      <c r="G19" s="334"/>
      <c r="H19" s="2049"/>
      <c r="I19" s="2053"/>
      <c r="J19" s="333"/>
      <c r="K19" s="2049"/>
      <c r="L19" s="2053"/>
      <c r="M19" s="333"/>
      <c r="N19" s="2049"/>
      <c r="O19" s="2053"/>
    </row>
    <row r="20" spans="1:52" s="66" customFormat="1" ht="15" customHeight="1" x14ac:dyDescent="0.15">
      <c r="B20" s="2050" t="s">
        <v>1161</v>
      </c>
      <c r="C20" s="331" t="s">
        <v>1159</v>
      </c>
      <c r="D20" s="2044"/>
      <c r="E20" s="2044"/>
      <c r="F20" s="2044"/>
      <c r="G20" s="2044"/>
      <c r="H20" s="2044"/>
      <c r="I20" s="2044"/>
      <c r="J20" s="331" t="s">
        <v>1159</v>
      </c>
      <c r="K20" s="2051">
        <v>1200</v>
      </c>
      <c r="L20" s="2052">
        <f>J21*K20</f>
        <v>0</v>
      </c>
      <c r="M20" s="2044"/>
      <c r="N20" s="2044"/>
      <c r="O20" s="2044"/>
    </row>
    <row r="21" spans="1:52" s="66" customFormat="1" ht="15" customHeight="1" x14ac:dyDescent="0.15">
      <c r="B21" s="2047"/>
      <c r="C21" s="792">
        <f>J21</f>
        <v>0</v>
      </c>
      <c r="D21" s="2045"/>
      <c r="E21" s="2045"/>
      <c r="F21" s="2045"/>
      <c r="G21" s="2045"/>
      <c r="H21" s="2045"/>
      <c r="I21" s="2045"/>
      <c r="J21" s="333"/>
      <c r="K21" s="2049"/>
      <c r="L21" s="2053"/>
      <c r="M21" s="2045"/>
      <c r="N21" s="2045"/>
      <c r="O21" s="2045"/>
    </row>
    <row r="22" spans="1:52" s="66" customFormat="1" ht="15" customHeight="1" x14ac:dyDescent="0.15">
      <c r="B22" s="2046" t="s">
        <v>10</v>
      </c>
      <c r="C22" s="332" t="s">
        <v>1159</v>
      </c>
      <c r="D22" s="332" t="s">
        <v>1159</v>
      </c>
      <c r="E22" s="2044"/>
      <c r="F22" s="335" t="s">
        <v>2261</v>
      </c>
      <c r="G22" s="332" t="s">
        <v>1159</v>
      </c>
      <c r="H22" s="2044"/>
      <c r="I22" s="335" t="s">
        <v>2262</v>
      </c>
      <c r="J22" s="331" t="s">
        <v>1159</v>
      </c>
      <c r="K22" s="2044"/>
      <c r="L22" s="335" t="s">
        <v>2264</v>
      </c>
      <c r="M22" s="331" t="s">
        <v>1159</v>
      </c>
      <c r="N22" s="2044"/>
      <c r="O22" s="335" t="s">
        <v>2263</v>
      </c>
    </row>
    <row r="23" spans="1:52" s="66" customFormat="1" ht="15" customHeight="1" x14ac:dyDescent="0.15">
      <c r="B23" s="2047"/>
      <c r="C23" s="791">
        <f>C17+C19+C21</f>
        <v>0</v>
      </c>
      <c r="D23" s="791">
        <f>D17+D19</f>
        <v>0</v>
      </c>
      <c r="E23" s="2045"/>
      <c r="F23" s="791">
        <f>F16+F18</f>
        <v>0</v>
      </c>
      <c r="G23" s="791">
        <f>G17+G19</f>
        <v>0</v>
      </c>
      <c r="H23" s="2045"/>
      <c r="I23" s="791">
        <f>I16+I18</f>
        <v>0</v>
      </c>
      <c r="J23" s="791">
        <f>J17+J19+J21</f>
        <v>0</v>
      </c>
      <c r="K23" s="2045"/>
      <c r="L23" s="791">
        <f>L16+L18+L20</f>
        <v>0</v>
      </c>
      <c r="M23" s="792">
        <f>M17+M19</f>
        <v>0</v>
      </c>
      <c r="N23" s="2045"/>
      <c r="O23" s="791">
        <f>O16+O18</f>
        <v>0</v>
      </c>
    </row>
    <row r="24" spans="1:52" s="66" customFormat="1" ht="15" customHeight="1" x14ac:dyDescent="0.15">
      <c r="B24" s="2041" t="s">
        <v>1976</v>
      </c>
      <c r="C24" s="2042"/>
      <c r="D24" s="2042"/>
      <c r="E24" s="2042"/>
      <c r="F24" s="2042"/>
      <c r="G24" s="2042"/>
      <c r="H24" s="2042"/>
      <c r="I24" s="2042"/>
      <c r="J24" s="2042"/>
      <c r="K24" s="2042"/>
      <c r="L24" s="2042"/>
      <c r="M24" s="2042"/>
      <c r="N24" s="2042"/>
      <c r="O24" s="2042"/>
    </row>
    <row r="25" spans="1:52" s="66" customFormat="1" ht="15" customHeight="1" x14ac:dyDescent="0.15">
      <c r="B25" s="2043"/>
      <c r="C25" s="2043"/>
      <c r="D25" s="2043"/>
      <c r="E25" s="2043"/>
      <c r="F25" s="2043"/>
      <c r="G25" s="2043"/>
      <c r="H25" s="2043"/>
      <c r="I25" s="2043"/>
      <c r="J25" s="2043"/>
      <c r="K25" s="2043"/>
      <c r="L25" s="2043"/>
      <c r="M25" s="2043"/>
      <c r="N25" s="2043"/>
      <c r="O25" s="2043"/>
    </row>
    <row r="26" spans="1:52" s="66" customFormat="1" ht="15" customHeight="1" x14ac:dyDescent="0.15">
      <c r="B26" s="2043"/>
      <c r="C26" s="2043"/>
      <c r="D26" s="2043"/>
      <c r="E26" s="2043"/>
      <c r="F26" s="2043"/>
      <c r="G26" s="2043"/>
      <c r="H26" s="2043"/>
      <c r="I26" s="2043"/>
      <c r="J26" s="2043"/>
      <c r="K26" s="2043"/>
      <c r="L26" s="2043"/>
      <c r="M26" s="2043"/>
      <c r="N26" s="2043"/>
      <c r="O26" s="2043"/>
    </row>
    <row r="27" spans="1:52" s="66" customFormat="1" ht="15" customHeight="1" x14ac:dyDescent="0.15">
      <c r="B27" s="2043"/>
      <c r="C27" s="2043"/>
      <c r="D27" s="2043"/>
      <c r="E27" s="2043"/>
      <c r="F27" s="2043"/>
      <c r="G27" s="2043"/>
      <c r="H27" s="2043"/>
      <c r="I27" s="2043"/>
      <c r="J27" s="2043"/>
      <c r="K27" s="2043"/>
      <c r="L27" s="2043"/>
      <c r="M27" s="2043"/>
      <c r="N27" s="2043"/>
      <c r="O27" s="2043"/>
    </row>
    <row r="28" spans="1:52" s="66" customFormat="1" ht="15" customHeight="1" x14ac:dyDescent="0.15">
      <c r="B28" s="2043"/>
      <c r="C28" s="2043"/>
      <c r="D28" s="2043"/>
      <c r="E28" s="2043"/>
      <c r="F28" s="2043"/>
      <c r="G28" s="2043"/>
      <c r="H28" s="2043"/>
      <c r="I28" s="2043"/>
      <c r="J28" s="2043"/>
      <c r="K28" s="2043"/>
      <c r="L28" s="2043"/>
      <c r="M28" s="2043"/>
      <c r="N28" s="2043"/>
      <c r="O28" s="2043"/>
    </row>
    <row r="29" spans="1:52" s="66" customFormat="1" ht="15" customHeight="1" x14ac:dyDescent="0.15"/>
    <row r="30" spans="1:52" s="12" customFormat="1" ht="15" customHeight="1" x14ac:dyDescent="0.15">
      <c r="A30" s="66"/>
      <c r="B30" s="66" t="s">
        <v>1162</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3"/>
      <c r="AJ30" s="63"/>
      <c r="AK30" s="63"/>
      <c r="AL30" s="63"/>
      <c r="AM30" s="63"/>
      <c r="AN30" s="63"/>
      <c r="AO30" s="63"/>
      <c r="AP30" s="63"/>
      <c r="AQ30" s="63"/>
      <c r="AR30" s="63"/>
      <c r="AS30" s="63"/>
      <c r="AT30" s="63"/>
      <c r="AU30" s="63"/>
      <c r="AV30" s="63"/>
      <c r="AW30" s="63"/>
      <c r="AX30" s="63"/>
      <c r="AY30" s="63"/>
      <c r="AZ30" s="63"/>
    </row>
    <row r="31" spans="1:52" s="12" customFormat="1" ht="22.5" customHeight="1" x14ac:dyDescent="0.15">
      <c r="A31" s="66"/>
      <c r="B31" s="66"/>
      <c r="C31" s="2063">
        <f>F23+I23+L23+O23</f>
        <v>0</v>
      </c>
      <c r="D31" s="2063"/>
      <c r="E31" s="2063"/>
      <c r="F31" s="66" t="s">
        <v>780</v>
      </c>
      <c r="G31" s="66" t="s">
        <v>1163</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3"/>
      <c r="AJ31" s="63"/>
      <c r="AK31" s="63"/>
      <c r="AL31" s="63"/>
      <c r="AM31" s="63"/>
      <c r="AN31" s="63"/>
      <c r="AO31" s="63"/>
      <c r="AP31" s="63"/>
      <c r="AQ31" s="63"/>
      <c r="AR31" s="63"/>
      <c r="AS31" s="63"/>
      <c r="AT31" s="63"/>
      <c r="AU31" s="63"/>
      <c r="AV31" s="63"/>
      <c r="AW31" s="63"/>
      <c r="AX31" s="63"/>
      <c r="AY31" s="63"/>
      <c r="AZ31" s="63"/>
    </row>
    <row r="32" spans="1:52" s="12" customFormat="1" ht="15" customHeight="1" x14ac:dyDescent="0.1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3"/>
      <c r="AJ32" s="63"/>
      <c r="AK32" s="63"/>
      <c r="AL32" s="63"/>
      <c r="AM32" s="63"/>
      <c r="AN32" s="63"/>
      <c r="AO32" s="63"/>
      <c r="AP32" s="63"/>
      <c r="AQ32" s="63"/>
      <c r="AR32" s="63"/>
      <c r="AS32" s="63"/>
      <c r="AT32" s="63"/>
      <c r="AU32" s="63"/>
      <c r="AV32" s="63"/>
      <c r="AW32" s="63"/>
      <c r="AX32" s="63"/>
      <c r="AY32" s="63"/>
      <c r="AZ32" s="63"/>
    </row>
    <row r="33" spans="1:52" s="12" customFormat="1" ht="15" customHeight="1" x14ac:dyDescent="0.15">
      <c r="A33" s="66"/>
      <c r="B33" s="66" t="s">
        <v>1164</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3"/>
      <c r="AJ33" s="63"/>
      <c r="AK33" s="63"/>
      <c r="AL33" s="63"/>
      <c r="AM33" s="63"/>
      <c r="AN33" s="63"/>
      <c r="AO33" s="63"/>
      <c r="AP33" s="63"/>
      <c r="AQ33" s="63"/>
      <c r="AR33" s="63"/>
      <c r="AS33" s="63"/>
      <c r="AT33" s="63"/>
      <c r="AU33" s="63"/>
      <c r="AV33" s="63"/>
      <c r="AW33" s="63"/>
      <c r="AX33" s="63"/>
      <c r="AY33" s="63"/>
      <c r="AZ33" s="63"/>
    </row>
    <row r="34" spans="1:52" s="12" customFormat="1" ht="9" customHeight="1" x14ac:dyDescent="0.15">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3"/>
      <c r="AJ34" s="63"/>
      <c r="AK34" s="63"/>
      <c r="AL34" s="63"/>
      <c r="AM34" s="63"/>
      <c r="AN34" s="63"/>
      <c r="AO34" s="63"/>
      <c r="AP34" s="63"/>
      <c r="AQ34" s="63"/>
      <c r="AR34" s="63"/>
      <c r="AS34" s="63"/>
      <c r="AT34" s="63"/>
      <c r="AU34" s="63"/>
      <c r="AV34" s="63"/>
      <c r="AW34" s="63"/>
      <c r="AX34" s="63"/>
      <c r="AY34" s="63"/>
      <c r="AZ34" s="63"/>
    </row>
    <row r="35" spans="1:52" ht="15" customHeight="1" x14ac:dyDescent="0.15">
      <c r="B35" s="1810"/>
      <c r="C35" s="1810"/>
      <c r="D35" s="1810"/>
      <c r="E35" s="1810"/>
      <c r="F35" s="1810"/>
      <c r="G35" s="1810"/>
      <c r="H35" s="1810"/>
      <c r="I35" s="1810"/>
      <c r="J35" s="1810"/>
      <c r="K35" s="1810"/>
      <c r="L35" s="1810"/>
      <c r="M35" s="1810"/>
      <c r="N35" s="1810"/>
    </row>
    <row r="36" spans="1:52" ht="15" customHeight="1" x14ac:dyDescent="0.15">
      <c r="B36" s="1810"/>
      <c r="C36" s="1810"/>
      <c r="D36" s="1810"/>
      <c r="E36" s="1810"/>
      <c r="F36" s="1810"/>
      <c r="G36" s="1810"/>
      <c r="H36" s="1810"/>
      <c r="I36" s="1810"/>
      <c r="J36" s="1810"/>
      <c r="K36" s="1810"/>
      <c r="L36" s="1810"/>
      <c r="M36" s="1810"/>
      <c r="N36" s="1810"/>
    </row>
    <row r="37" spans="1:52" ht="15" customHeight="1" x14ac:dyDescent="0.15">
      <c r="B37" s="1810"/>
      <c r="C37" s="1810"/>
      <c r="D37" s="1810"/>
      <c r="E37" s="1810"/>
      <c r="F37" s="1810"/>
      <c r="G37" s="1810"/>
      <c r="H37" s="1810"/>
      <c r="I37" s="1810"/>
      <c r="J37" s="1810"/>
      <c r="K37" s="1810"/>
      <c r="L37" s="1810"/>
      <c r="M37" s="1810"/>
      <c r="N37" s="1810"/>
    </row>
    <row r="38" spans="1:52" ht="15" customHeight="1" x14ac:dyDescent="0.15"/>
    <row r="39" spans="1:52" ht="15" customHeight="1" x14ac:dyDescent="0.15">
      <c r="B39" s="66" t="s">
        <v>1165</v>
      </c>
    </row>
    <row r="40" spans="1:52" ht="15" customHeight="1" x14ac:dyDescent="0.15"/>
    <row r="41" spans="1:52" ht="15" customHeight="1" x14ac:dyDescent="0.15">
      <c r="B41" s="1968" t="s">
        <v>1977</v>
      </c>
      <c r="C41" s="1968"/>
      <c r="D41" s="1968"/>
      <c r="E41" s="1968"/>
      <c r="F41" s="1968"/>
      <c r="G41" s="1968"/>
      <c r="H41" s="1968"/>
      <c r="I41" s="1968"/>
      <c r="J41" s="1968"/>
      <c r="K41" s="1968"/>
      <c r="L41" s="1968"/>
      <c r="M41" s="1968"/>
      <c r="N41" s="1968"/>
      <c r="O41" s="1968"/>
    </row>
    <row r="42" spans="1:52" ht="15" customHeight="1" x14ac:dyDescent="0.15">
      <c r="B42" s="1968"/>
      <c r="C42" s="1968"/>
      <c r="D42" s="1968"/>
      <c r="E42" s="1968"/>
      <c r="F42" s="1968"/>
      <c r="G42" s="1968"/>
      <c r="H42" s="1968"/>
      <c r="I42" s="1968"/>
      <c r="J42" s="1968"/>
      <c r="K42" s="1968"/>
      <c r="L42" s="1968"/>
      <c r="M42" s="1968"/>
      <c r="N42" s="1968"/>
      <c r="O42" s="1968"/>
    </row>
    <row r="43" spans="1:52" ht="15" customHeight="1" x14ac:dyDescent="0.15"/>
    <row r="44" spans="1:52" ht="15.6" customHeight="1" x14ac:dyDescent="0.15">
      <c r="C44" s="66" t="s">
        <v>1166</v>
      </c>
    </row>
    <row r="45" spans="1:52" ht="15.6" customHeight="1" x14ac:dyDescent="0.15"/>
    <row r="46" spans="1:52" s="66" customFormat="1" ht="15.6" customHeight="1" x14ac:dyDescent="0.15">
      <c r="I46" s="66" t="s">
        <v>44</v>
      </c>
      <c r="K46" s="1808"/>
      <c r="L46" s="1808"/>
      <c r="M46" s="1808"/>
      <c r="N46" s="1808"/>
    </row>
  </sheetData>
  <mergeCells count="60">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 ref="C13:O13"/>
    <mergeCell ref="C14:C15"/>
    <mergeCell ref="D14:F14"/>
    <mergeCell ref="G14:I14"/>
    <mergeCell ref="J14:L14"/>
    <mergeCell ref="M14:O14"/>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N18:N19"/>
    <mergeCell ref="B20:B21"/>
    <mergeCell ref="D20:D21"/>
    <mergeCell ref="E20:E21"/>
    <mergeCell ref="F20:F21"/>
    <mergeCell ref="G20:G21"/>
    <mergeCell ref="H20:H21"/>
    <mergeCell ref="I20:I21"/>
    <mergeCell ref="K20:K21"/>
    <mergeCell ref="L20:L21"/>
    <mergeCell ref="M20:M21"/>
    <mergeCell ref="N20:N21"/>
    <mergeCell ref="B24:O28"/>
    <mergeCell ref="B35:N37"/>
    <mergeCell ref="B41:O42"/>
    <mergeCell ref="K46:N46"/>
    <mergeCell ref="O20:O21"/>
    <mergeCell ref="B22:B23"/>
    <mergeCell ref="E22:E23"/>
    <mergeCell ref="H22:H23"/>
    <mergeCell ref="K22:K23"/>
    <mergeCell ref="N22:N23"/>
  </mergeCells>
  <phoneticPr fontId="3"/>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view="pageBreakPreview" zoomScaleNormal="100" zoomScaleSheetLayoutView="100" workbookViewId="0">
      <selection activeCell="S8" sqref="S8"/>
    </sheetView>
  </sheetViews>
  <sheetFormatPr defaultColWidth="9" defaultRowHeight="18.75" x14ac:dyDescent="0.15"/>
  <cols>
    <col min="1" max="1" width="2.25" style="1" customWidth="1"/>
    <col min="2" max="21" width="4.5" style="1" customWidth="1"/>
    <col min="22" max="22" width="1.875" style="1" customWidth="1"/>
    <col min="23" max="24" width="2.625" style="1" customWidth="1"/>
    <col min="25" max="25" width="29.5" style="1" customWidth="1"/>
    <col min="26" max="27" width="23" style="1" customWidth="1"/>
    <col min="28" max="16384" width="9" style="1"/>
  </cols>
  <sheetData>
    <row r="1" spans="1:27" s="66" customFormat="1" ht="16.149999999999999" customHeight="1" x14ac:dyDescent="0.15">
      <c r="A1" s="203"/>
      <c r="Q1" s="225"/>
      <c r="R1" s="225"/>
    </row>
    <row r="2" spans="1:27" s="66" customFormat="1" ht="16.149999999999999" customHeight="1" x14ac:dyDescent="0.15">
      <c r="A2" s="203"/>
      <c r="Q2" s="2140" t="s">
        <v>1237</v>
      </c>
      <c r="R2" s="2140"/>
      <c r="S2" s="2140"/>
      <c r="T2" s="2140"/>
      <c r="Y2" s="66" t="str">
        <f>IF('金銭出納簿（今年度）（参考）'!G3="", "",'金銭出納簿（今年度）（参考）'!G3)</f>
        <v/>
      </c>
    </row>
    <row r="3" spans="1:27" s="417" customFormat="1" ht="16.149999999999999" customHeight="1" x14ac:dyDescent="0.15">
      <c r="C3" s="2141" t="str">
        <f>はじめに!D4</f>
        <v>真庭市</v>
      </c>
      <c r="D3" s="2141"/>
      <c r="E3" s="417" t="s">
        <v>1238</v>
      </c>
      <c r="F3" s="66"/>
      <c r="G3" s="66"/>
    </row>
    <row r="4" spans="1:27" s="417" customFormat="1" ht="16.149999999999999" customHeight="1" x14ac:dyDescent="0.15">
      <c r="A4" s="418"/>
      <c r="B4" s="418"/>
      <c r="C4" s="418"/>
      <c r="D4" s="418"/>
      <c r="E4" s="418"/>
      <c r="F4" s="66"/>
      <c r="G4" s="66"/>
      <c r="H4" s="66"/>
      <c r="I4" s="66"/>
      <c r="J4" s="66"/>
      <c r="K4" s="66"/>
      <c r="L4" s="66"/>
      <c r="M4" s="66"/>
      <c r="N4" s="66"/>
      <c r="O4" s="66"/>
      <c r="P4" s="66"/>
      <c r="Q4" s="66"/>
    </row>
    <row r="5" spans="1:27" s="66" customFormat="1" ht="16.149999999999999" customHeight="1" x14ac:dyDescent="0.15">
      <c r="A5" s="419"/>
      <c r="B5" s="419"/>
      <c r="C5" s="419"/>
      <c r="D5" s="419"/>
      <c r="P5" s="2142" t="s">
        <v>68</v>
      </c>
      <c r="Q5" s="2142"/>
      <c r="R5" s="2142"/>
      <c r="S5" s="2142"/>
      <c r="T5" s="2142"/>
    </row>
    <row r="6" spans="1:27" s="66" customFormat="1" ht="16.149999999999999" customHeight="1" x14ac:dyDescent="0.15">
      <c r="A6" s="419"/>
      <c r="B6" s="419"/>
      <c r="C6" s="419"/>
      <c r="D6" s="419"/>
      <c r="P6" s="2143" t="str">
        <f>はじめに!D5</f>
        <v>真庭集落協定</v>
      </c>
      <c r="Q6" s="2143"/>
      <c r="R6" s="2143"/>
      <c r="S6" s="2143"/>
      <c r="T6" s="2143"/>
    </row>
    <row r="7" spans="1:27" s="66" customFormat="1" ht="16.149999999999999" customHeight="1" x14ac:dyDescent="0.15">
      <c r="A7" s="419"/>
      <c r="B7" s="419"/>
      <c r="C7" s="419"/>
      <c r="D7" s="419"/>
      <c r="E7" s="236"/>
    </row>
    <row r="8" spans="1:27" s="417" customFormat="1" ht="16.149999999999999" customHeight="1" x14ac:dyDescent="0.15">
      <c r="A8" s="243"/>
      <c r="C8" s="2144" t="str">
        <f>IF('金銭出納簿（今年度）（参考）'!G3="", "",'金銭出納簿（今年度）（参考）'!G3)</f>
        <v/>
      </c>
      <c r="D8" s="2145"/>
      <c r="E8" s="2145"/>
      <c r="F8" s="66" t="s">
        <v>1239</v>
      </c>
      <c r="G8" s="66"/>
    </row>
    <row r="9" spans="1:27" s="417" customFormat="1" ht="16.149999999999999" customHeight="1" x14ac:dyDescent="0.15">
      <c r="A9" s="243"/>
      <c r="B9" s="236"/>
      <c r="C9" s="236"/>
      <c r="D9" s="236"/>
      <c r="E9" s="236"/>
      <c r="F9" s="66"/>
      <c r="G9" s="66"/>
    </row>
    <row r="10" spans="1:27" s="66" customFormat="1" ht="16.149999999999999" customHeight="1" x14ac:dyDescent="0.15">
      <c r="B10" s="66" t="s">
        <v>1240</v>
      </c>
      <c r="L10" s="420"/>
      <c r="M10" s="420"/>
    </row>
    <row r="11" spans="1:27" s="66" customFormat="1" ht="16.149999999999999" customHeight="1" x14ac:dyDescent="0.15">
      <c r="A11" s="203"/>
      <c r="B11" s="66" t="s">
        <v>1241</v>
      </c>
      <c r="V11" s="225"/>
    </row>
    <row r="12" spans="1:27" s="66" customFormat="1" ht="16.149999999999999" customHeight="1" x14ac:dyDescent="0.15">
      <c r="A12" s="203"/>
      <c r="C12" s="2137"/>
      <c r="D12" s="2137"/>
      <c r="E12" s="2137"/>
      <c r="F12" s="2137"/>
      <c r="G12" s="2137"/>
      <c r="H12" s="1792" t="s">
        <v>1242</v>
      </c>
      <c r="I12" s="1792"/>
      <c r="J12" s="1792"/>
      <c r="K12" s="1792"/>
      <c r="L12" s="1792"/>
      <c r="M12" s="1792" t="s">
        <v>1243</v>
      </c>
      <c r="N12" s="1792"/>
      <c r="O12" s="1792"/>
      <c r="P12" s="1792"/>
      <c r="Q12" s="1792"/>
      <c r="R12" s="1792"/>
      <c r="S12" s="1792"/>
      <c r="T12" s="1792"/>
      <c r="U12" s="1792"/>
      <c r="V12" s="225"/>
    </row>
    <row r="13" spans="1:27" s="66" customFormat="1" ht="16.149999999999999" customHeight="1" x14ac:dyDescent="0.15">
      <c r="A13" s="203"/>
      <c r="C13" s="2137" t="s">
        <v>1244</v>
      </c>
      <c r="D13" s="2137"/>
      <c r="E13" s="2137"/>
      <c r="F13" s="2137"/>
      <c r="G13" s="2137"/>
      <c r="H13" s="2138">
        <v>2400000</v>
      </c>
      <c r="I13" s="2138"/>
      <c r="J13" s="2138"/>
      <c r="K13" s="2138"/>
      <c r="L13" s="2138"/>
      <c r="M13" s="2139" t="s">
        <v>2297</v>
      </c>
      <c r="N13" s="2139"/>
      <c r="O13" s="2139"/>
      <c r="P13" s="2139"/>
      <c r="Q13" s="2139"/>
      <c r="R13" s="2139"/>
      <c r="S13" s="2139"/>
      <c r="T13" s="2139"/>
      <c r="U13" s="2139"/>
      <c r="V13" s="225"/>
    </row>
    <row r="14" spans="1:27" s="66" customFormat="1" ht="16.149999999999999" customHeight="1" x14ac:dyDescent="0.15">
      <c r="A14" s="203"/>
      <c r="C14" s="2137" t="s">
        <v>1245</v>
      </c>
      <c r="D14" s="2137"/>
      <c r="E14" s="2137"/>
      <c r="F14" s="2137"/>
      <c r="G14" s="2137"/>
      <c r="H14" s="2138">
        <v>2400000</v>
      </c>
      <c r="I14" s="2138"/>
      <c r="J14" s="2138"/>
      <c r="K14" s="2138"/>
      <c r="L14" s="2138"/>
      <c r="M14" s="2139" t="s">
        <v>1246</v>
      </c>
      <c r="N14" s="2139"/>
      <c r="O14" s="2139"/>
      <c r="P14" s="2139"/>
      <c r="Q14" s="2139"/>
      <c r="R14" s="2139"/>
      <c r="S14" s="2139"/>
      <c r="T14" s="2139"/>
      <c r="U14" s="2139"/>
      <c r="V14" s="225"/>
    </row>
    <row r="15" spans="1:27" s="66" customFormat="1" ht="16.149999999999999" customHeight="1" x14ac:dyDescent="0.15"/>
    <row r="16" spans="1:27" s="66" customFormat="1" ht="16.149999999999999" customHeight="1" x14ac:dyDescent="0.15">
      <c r="B16" s="66" t="s">
        <v>1247</v>
      </c>
      <c r="Y16" s="421" t="s">
        <v>1248</v>
      </c>
      <c r="Z16" s="422" t="s">
        <v>1249</v>
      </c>
      <c r="AA16" s="422"/>
    </row>
    <row r="17" spans="3:27" s="66" customFormat="1" ht="16.149999999999999" customHeight="1" x14ac:dyDescent="0.15">
      <c r="C17" s="1792" t="s">
        <v>1248</v>
      </c>
      <c r="D17" s="1761"/>
      <c r="E17" s="1761"/>
      <c r="F17" s="1761"/>
      <c r="G17" s="1761"/>
      <c r="H17" s="1761"/>
      <c r="I17" s="1761"/>
      <c r="J17" s="2129" t="s">
        <v>1249</v>
      </c>
      <c r="K17" s="2130"/>
      <c r="L17" s="2130"/>
      <c r="M17" s="2130"/>
      <c r="N17" s="2130"/>
      <c r="O17" s="1792" t="s">
        <v>1250</v>
      </c>
      <c r="P17" s="1761"/>
      <c r="Q17" s="1761"/>
      <c r="R17" s="1761"/>
      <c r="S17" s="1761"/>
      <c r="T17" s="1761"/>
      <c r="U17" s="1761"/>
      <c r="Y17" s="423"/>
      <c r="Z17" s="424" t="s">
        <v>1251</v>
      </c>
      <c r="AA17" s="424" t="s">
        <v>1252</v>
      </c>
    </row>
    <row r="18" spans="3:27" ht="16.149999999999999" customHeight="1" x14ac:dyDescent="0.15">
      <c r="C18" s="2131" t="s">
        <v>663</v>
      </c>
      <c r="D18" s="2132"/>
      <c r="E18" s="2132"/>
      <c r="F18" s="2132"/>
      <c r="G18" s="2132"/>
      <c r="H18" s="2132"/>
      <c r="I18" s="2132"/>
      <c r="J18" s="2133">
        <f>Z18+AA18</f>
        <v>250000</v>
      </c>
      <c r="K18" s="2134"/>
      <c r="L18" s="2134"/>
      <c r="M18" s="2134"/>
      <c r="N18" s="2134"/>
      <c r="O18" s="2135" t="s">
        <v>1253</v>
      </c>
      <c r="P18" s="2136"/>
      <c r="Q18" s="2136"/>
      <c r="R18" s="2136"/>
      <c r="S18" s="2136"/>
      <c r="T18" s="2136"/>
      <c r="U18" s="2136"/>
      <c r="Y18" s="425" t="s">
        <v>663</v>
      </c>
      <c r="Z18" s="426">
        <f>'金銭出納簿（今年度）（参考）'!I96</f>
        <v>250000</v>
      </c>
      <c r="AA18" s="531">
        <f>'金銭出納簿（前年度）（参考） '!K96</f>
        <v>0</v>
      </c>
    </row>
    <row r="19" spans="3:27" ht="16.149999999999999" customHeight="1" x14ac:dyDescent="0.15">
      <c r="C19" s="2121" t="s">
        <v>1233</v>
      </c>
      <c r="D19" s="2122"/>
      <c r="E19" s="2122"/>
      <c r="F19" s="2122"/>
      <c r="G19" s="2122"/>
      <c r="H19" s="2122"/>
      <c r="I19" s="2122"/>
      <c r="J19" s="2123">
        <f t="shared" ref="J19:J32" si="0">Z19+AA19</f>
        <v>655000</v>
      </c>
      <c r="K19" s="2124"/>
      <c r="L19" s="2124"/>
      <c r="M19" s="2124"/>
      <c r="N19" s="2124"/>
      <c r="O19" s="2127" t="s">
        <v>1254</v>
      </c>
      <c r="P19" s="2128"/>
      <c r="Q19" s="2128"/>
      <c r="R19" s="2128"/>
      <c r="S19" s="2128"/>
      <c r="T19" s="2128"/>
      <c r="U19" s="2128"/>
      <c r="Y19" s="425" t="s">
        <v>1233</v>
      </c>
      <c r="Z19" s="426">
        <f>'金銭出納簿（今年度）（参考）'!I97</f>
        <v>405000</v>
      </c>
      <c r="AA19" s="532">
        <f>'金銭出納簿（前年度）（参考） '!K97</f>
        <v>250000</v>
      </c>
    </row>
    <row r="20" spans="3:27" ht="16.149999999999999" customHeight="1" x14ac:dyDescent="0.15">
      <c r="C20" s="2121" t="s">
        <v>838</v>
      </c>
      <c r="D20" s="2122"/>
      <c r="E20" s="2122"/>
      <c r="F20" s="2122"/>
      <c r="G20" s="2122"/>
      <c r="H20" s="2122"/>
      <c r="I20" s="2122"/>
      <c r="J20" s="2123">
        <f t="shared" si="0"/>
        <v>120000</v>
      </c>
      <c r="K20" s="2124"/>
      <c r="L20" s="2124"/>
      <c r="M20" s="2124"/>
      <c r="N20" s="2124"/>
      <c r="O20" s="2127" t="s">
        <v>1255</v>
      </c>
      <c r="P20" s="2128"/>
      <c r="Q20" s="2128"/>
      <c r="R20" s="2128"/>
      <c r="S20" s="2128"/>
      <c r="T20" s="2128"/>
      <c r="U20" s="2128"/>
      <c r="Y20" s="425" t="s">
        <v>838</v>
      </c>
      <c r="Z20" s="426">
        <f>'金銭出納簿（今年度）（参考）'!I98</f>
        <v>80000</v>
      </c>
      <c r="AA20" s="532">
        <f>'金銭出納簿（前年度）（参考） '!K98</f>
        <v>40000</v>
      </c>
    </row>
    <row r="21" spans="3:27" ht="16.149999999999999" customHeight="1" x14ac:dyDescent="0.15">
      <c r="C21" s="2121" t="s">
        <v>1234</v>
      </c>
      <c r="D21" s="2122"/>
      <c r="E21" s="2122"/>
      <c r="F21" s="2122"/>
      <c r="G21" s="2122"/>
      <c r="H21" s="2122"/>
      <c r="I21" s="2122"/>
      <c r="J21" s="2123">
        <f t="shared" si="0"/>
        <v>380000</v>
      </c>
      <c r="K21" s="2124"/>
      <c r="L21" s="2124"/>
      <c r="M21" s="2124"/>
      <c r="N21" s="2124"/>
      <c r="O21" s="2127" t="s">
        <v>1256</v>
      </c>
      <c r="P21" s="2128"/>
      <c r="Q21" s="2128"/>
      <c r="R21" s="2128"/>
      <c r="S21" s="2128"/>
      <c r="T21" s="2128"/>
      <c r="U21" s="2128"/>
      <c r="Y21" s="425" t="s">
        <v>1234</v>
      </c>
      <c r="Z21" s="426">
        <f>'金銭出納簿（今年度）（参考）'!I99</f>
        <v>180000</v>
      </c>
      <c r="AA21" s="532">
        <f>'金銭出納簿（前年度）（参考） '!K99</f>
        <v>200000</v>
      </c>
    </row>
    <row r="22" spans="3:27" ht="16.149999999999999" customHeight="1" x14ac:dyDescent="0.15">
      <c r="C22" s="2121" t="s">
        <v>840</v>
      </c>
      <c r="D22" s="2122"/>
      <c r="E22" s="2122"/>
      <c r="F22" s="2122"/>
      <c r="G22" s="2122"/>
      <c r="H22" s="2122"/>
      <c r="I22" s="2122"/>
      <c r="J22" s="2123">
        <f t="shared" si="0"/>
        <v>400000</v>
      </c>
      <c r="K22" s="2124"/>
      <c r="L22" s="2124"/>
      <c r="M22" s="2124"/>
      <c r="N22" s="2124"/>
      <c r="O22" s="2127" t="s">
        <v>1257</v>
      </c>
      <c r="P22" s="2128"/>
      <c r="Q22" s="2128"/>
      <c r="R22" s="2128"/>
      <c r="S22" s="2128"/>
      <c r="T22" s="2128"/>
      <c r="U22" s="2128"/>
      <c r="Y22" s="425" t="s">
        <v>840</v>
      </c>
      <c r="Z22" s="426">
        <f>'金銭出納簿（今年度）（参考）'!I100</f>
        <v>400000</v>
      </c>
      <c r="AA22" s="532">
        <f>'金銭出納簿（前年度）（参考） '!K100</f>
        <v>0</v>
      </c>
    </row>
    <row r="23" spans="3:27" ht="16.149999999999999" customHeight="1" x14ac:dyDescent="0.15">
      <c r="C23" s="2121" t="s">
        <v>1235</v>
      </c>
      <c r="D23" s="2122"/>
      <c r="E23" s="2122"/>
      <c r="F23" s="2122"/>
      <c r="G23" s="2122"/>
      <c r="H23" s="2122"/>
      <c r="I23" s="2122"/>
      <c r="J23" s="2123">
        <f t="shared" si="0"/>
        <v>30000</v>
      </c>
      <c r="K23" s="2124"/>
      <c r="L23" s="2124"/>
      <c r="M23" s="2124"/>
      <c r="N23" s="2124"/>
      <c r="O23" s="2127" t="s">
        <v>1258</v>
      </c>
      <c r="P23" s="2128"/>
      <c r="Q23" s="2128"/>
      <c r="R23" s="2128"/>
      <c r="S23" s="2128"/>
      <c r="T23" s="2128"/>
      <c r="U23" s="2128"/>
      <c r="Y23" s="425" t="s">
        <v>1235</v>
      </c>
      <c r="Z23" s="426">
        <f>'金銭出納簿（今年度）（参考）'!I101</f>
        <v>30000</v>
      </c>
      <c r="AA23" s="532">
        <f>'金銭出納簿（前年度）（参考） '!K101</f>
        <v>0</v>
      </c>
    </row>
    <row r="24" spans="3:27" ht="16.149999999999999" customHeight="1" x14ac:dyDescent="0.15">
      <c r="C24" s="2121" t="s">
        <v>1236</v>
      </c>
      <c r="D24" s="2122"/>
      <c r="E24" s="2122"/>
      <c r="F24" s="2122"/>
      <c r="G24" s="2122"/>
      <c r="H24" s="2122"/>
      <c r="I24" s="2122"/>
      <c r="J24" s="2123">
        <f t="shared" si="0"/>
        <v>100000</v>
      </c>
      <c r="K24" s="2124"/>
      <c r="L24" s="2124"/>
      <c r="M24" s="2124"/>
      <c r="N24" s="2124"/>
      <c r="O24" s="2127"/>
      <c r="P24" s="2128"/>
      <c r="Q24" s="2128"/>
      <c r="R24" s="2128"/>
      <c r="S24" s="2128"/>
      <c r="T24" s="2128"/>
      <c r="U24" s="2128"/>
      <c r="Y24" s="425" t="s">
        <v>1236</v>
      </c>
      <c r="Z24" s="426">
        <f>'金銭出納簿（今年度）（参考）'!I102</f>
        <v>0</v>
      </c>
      <c r="AA24" s="532">
        <f>'金銭出納簿（前年度）（参考） '!K102</f>
        <v>100000</v>
      </c>
    </row>
    <row r="25" spans="3:27" ht="16.149999999999999" customHeight="1" x14ac:dyDescent="0.15">
      <c r="C25" s="2121" t="s">
        <v>843</v>
      </c>
      <c r="D25" s="2122"/>
      <c r="E25" s="2122"/>
      <c r="F25" s="2122"/>
      <c r="G25" s="2122"/>
      <c r="H25" s="2122"/>
      <c r="I25" s="2122"/>
      <c r="J25" s="2123">
        <f t="shared" si="0"/>
        <v>0</v>
      </c>
      <c r="K25" s="2124"/>
      <c r="L25" s="2124"/>
      <c r="M25" s="2124"/>
      <c r="N25" s="2124"/>
      <c r="O25" s="2127"/>
      <c r="P25" s="2128"/>
      <c r="Q25" s="2128"/>
      <c r="R25" s="2128"/>
      <c r="S25" s="2128"/>
      <c r="T25" s="2128"/>
      <c r="U25" s="2128"/>
      <c r="Y25" s="425" t="s">
        <v>843</v>
      </c>
      <c r="Z25" s="426">
        <f>'金銭出納簿（今年度）（参考）'!I103</f>
        <v>0</v>
      </c>
      <c r="AA25" s="532">
        <f>'金銭出納簿（前年度）（参考） '!K103</f>
        <v>0</v>
      </c>
    </row>
    <row r="26" spans="3:27" ht="16.149999999999999" customHeight="1" x14ac:dyDescent="0.15">
      <c r="C26" s="2121" t="s">
        <v>844</v>
      </c>
      <c r="D26" s="2122"/>
      <c r="E26" s="2122"/>
      <c r="F26" s="2122"/>
      <c r="G26" s="2122"/>
      <c r="H26" s="2122"/>
      <c r="I26" s="2122"/>
      <c r="J26" s="2123">
        <f t="shared" si="0"/>
        <v>60000</v>
      </c>
      <c r="K26" s="2124"/>
      <c r="L26" s="2124"/>
      <c r="M26" s="2124"/>
      <c r="N26" s="2124"/>
      <c r="O26" s="2127"/>
      <c r="P26" s="2128"/>
      <c r="Q26" s="2128"/>
      <c r="R26" s="2128"/>
      <c r="S26" s="2128"/>
      <c r="T26" s="2128"/>
      <c r="U26" s="2128"/>
      <c r="Y26" s="425" t="s">
        <v>844</v>
      </c>
      <c r="Z26" s="426">
        <f>'金銭出納簿（今年度）（参考）'!I104</f>
        <v>60000</v>
      </c>
      <c r="AA26" s="532">
        <f>'金銭出納簿（前年度）（参考） '!K104</f>
        <v>0</v>
      </c>
    </row>
    <row r="27" spans="3:27" ht="16.149999999999999" customHeight="1" x14ac:dyDescent="0.15">
      <c r="C27" s="2121" t="s">
        <v>845</v>
      </c>
      <c r="D27" s="2122"/>
      <c r="E27" s="2122"/>
      <c r="F27" s="2122"/>
      <c r="G27" s="2122"/>
      <c r="H27" s="2122"/>
      <c r="I27" s="2122"/>
      <c r="J27" s="2123">
        <f t="shared" si="0"/>
        <v>50001</v>
      </c>
      <c r="K27" s="2124"/>
      <c r="L27" s="2124"/>
      <c r="M27" s="2124"/>
      <c r="N27" s="2124"/>
      <c r="O27" s="2127" t="s">
        <v>1259</v>
      </c>
      <c r="P27" s="2128"/>
      <c r="Q27" s="2128"/>
      <c r="R27" s="2128"/>
      <c r="S27" s="2128"/>
      <c r="T27" s="2128"/>
      <c r="U27" s="2128"/>
      <c r="Y27" s="425" t="s">
        <v>845</v>
      </c>
      <c r="Z27" s="426">
        <f>'金銭出納簿（今年度）（参考）'!I105</f>
        <v>0</v>
      </c>
      <c r="AA27" s="532">
        <f>'金銭出納簿（前年度）（参考） '!K105</f>
        <v>50001</v>
      </c>
    </row>
    <row r="28" spans="3:27" ht="16.149999999999999" customHeight="1" x14ac:dyDescent="0.15">
      <c r="C28" s="2121" t="s">
        <v>837</v>
      </c>
      <c r="D28" s="2122"/>
      <c r="E28" s="2122"/>
      <c r="F28" s="2122"/>
      <c r="G28" s="2122"/>
      <c r="H28" s="2122"/>
      <c r="I28" s="2122"/>
      <c r="J28" s="2123">
        <f t="shared" si="0"/>
        <v>0</v>
      </c>
      <c r="K28" s="2124"/>
      <c r="L28" s="2124"/>
      <c r="M28" s="2124"/>
      <c r="N28" s="2124"/>
      <c r="O28" s="2125"/>
      <c r="P28" s="2126"/>
      <c r="Q28" s="2126"/>
      <c r="R28" s="2126"/>
      <c r="S28" s="2126"/>
      <c r="T28" s="2126"/>
      <c r="U28" s="2126"/>
      <c r="Y28" s="425" t="s">
        <v>837</v>
      </c>
      <c r="Z28" s="426">
        <f>'金銭出納簿（今年度）（参考）'!I106</f>
        <v>0</v>
      </c>
      <c r="AA28" s="532">
        <f>'金銭出納簿（前年度）（参考） '!K106</f>
        <v>0</v>
      </c>
    </row>
    <row r="29" spans="3:27" ht="16.149999999999999" customHeight="1" x14ac:dyDescent="0.15">
      <c r="C29" s="2121" t="s">
        <v>836</v>
      </c>
      <c r="D29" s="2122"/>
      <c r="E29" s="2122"/>
      <c r="F29" s="2122"/>
      <c r="G29" s="2122"/>
      <c r="H29" s="2122"/>
      <c r="I29" s="2122"/>
      <c r="J29" s="2123">
        <f t="shared" si="0"/>
        <v>2000</v>
      </c>
      <c r="K29" s="2124"/>
      <c r="L29" s="2124"/>
      <c r="M29" s="2124"/>
      <c r="N29" s="2124"/>
      <c r="O29" s="2125"/>
      <c r="P29" s="2126"/>
      <c r="Q29" s="2126"/>
      <c r="R29" s="2126"/>
      <c r="S29" s="2126"/>
      <c r="T29" s="2126"/>
      <c r="U29" s="2126"/>
      <c r="Y29" s="425" t="s">
        <v>836</v>
      </c>
      <c r="Z29" s="426">
        <f>'金銭出納簿（今年度）（参考）'!I107</f>
        <v>0</v>
      </c>
      <c r="AA29" s="532">
        <f>'金銭出納簿（前年度）（参考） '!K107</f>
        <v>2000</v>
      </c>
    </row>
    <row r="30" spans="3:27" ht="16.149999999999999" customHeight="1" x14ac:dyDescent="0.15">
      <c r="C30" s="2121" t="s">
        <v>834</v>
      </c>
      <c r="D30" s="2122"/>
      <c r="E30" s="2122"/>
      <c r="F30" s="2122"/>
      <c r="G30" s="2122"/>
      <c r="H30" s="2122"/>
      <c r="I30" s="2122"/>
      <c r="J30" s="2123">
        <f t="shared" si="0"/>
        <v>50000</v>
      </c>
      <c r="K30" s="2124"/>
      <c r="L30" s="2124"/>
      <c r="M30" s="2124"/>
      <c r="N30" s="2124"/>
      <c r="O30" s="2125"/>
      <c r="P30" s="2126"/>
      <c r="Q30" s="2126"/>
      <c r="R30" s="2126"/>
      <c r="S30" s="2126"/>
      <c r="T30" s="2126"/>
      <c r="U30" s="2126"/>
      <c r="Y30" s="425" t="s">
        <v>834</v>
      </c>
      <c r="Z30" s="426">
        <f>'金銭出納簿（今年度）（参考）'!I108</f>
        <v>0</v>
      </c>
      <c r="AA30" s="532">
        <f>'金銭出納簿（前年度）（参考） '!K108</f>
        <v>50000</v>
      </c>
    </row>
    <row r="31" spans="3:27" ht="16.149999999999999" customHeight="1" x14ac:dyDescent="0.15">
      <c r="C31" s="2121" t="s">
        <v>835</v>
      </c>
      <c r="D31" s="2122"/>
      <c r="E31" s="2122"/>
      <c r="F31" s="2122"/>
      <c r="G31" s="2122"/>
      <c r="H31" s="2122"/>
      <c r="I31" s="2122"/>
      <c r="J31" s="2123">
        <f t="shared" si="0"/>
        <v>100000</v>
      </c>
      <c r="K31" s="2124"/>
      <c r="L31" s="2124"/>
      <c r="M31" s="2124"/>
      <c r="N31" s="2124"/>
      <c r="O31" s="2125"/>
      <c r="P31" s="2126"/>
      <c r="Q31" s="2126"/>
      <c r="R31" s="2126"/>
      <c r="S31" s="2126"/>
      <c r="T31" s="2126"/>
      <c r="U31" s="2126"/>
      <c r="Y31" s="425" t="s">
        <v>835</v>
      </c>
      <c r="Z31" s="426">
        <f>'金銭出納簿（今年度）（参考）'!I109</f>
        <v>0</v>
      </c>
      <c r="AA31" s="532">
        <f>'金銭出納簿（前年度）（参考） '!K109</f>
        <v>100000</v>
      </c>
    </row>
    <row r="32" spans="3:27" ht="16.149999999999999" customHeight="1" thickBot="1" x14ac:dyDescent="0.2">
      <c r="C32" s="2121" t="s">
        <v>1198</v>
      </c>
      <c r="D32" s="2122"/>
      <c r="E32" s="2122"/>
      <c r="F32" s="2122"/>
      <c r="G32" s="2122"/>
      <c r="H32" s="2122"/>
      <c r="I32" s="2122"/>
      <c r="J32" s="2123">
        <f t="shared" si="0"/>
        <v>50000</v>
      </c>
      <c r="K32" s="2124"/>
      <c r="L32" s="2124"/>
      <c r="M32" s="2124"/>
      <c r="N32" s="2124"/>
      <c r="O32" s="2125"/>
      <c r="P32" s="2126"/>
      <c r="Q32" s="2126"/>
      <c r="R32" s="2126"/>
      <c r="S32" s="2126"/>
      <c r="T32" s="2126"/>
      <c r="U32" s="2126"/>
      <c r="Y32" s="326" t="s">
        <v>1198</v>
      </c>
      <c r="Z32" s="426">
        <f>'金銭出納簿（今年度）（参考）'!I110</f>
        <v>0</v>
      </c>
      <c r="AA32" s="533">
        <f>'金銭出納簿（前年度）（参考） '!K110</f>
        <v>50000</v>
      </c>
    </row>
    <row r="33" spans="2:27" ht="21" customHeight="1" thickBot="1" x14ac:dyDescent="0.2">
      <c r="C33" s="2104" t="s">
        <v>1260</v>
      </c>
      <c r="D33" s="2105"/>
      <c r="E33" s="2105"/>
      <c r="F33" s="2105"/>
      <c r="G33" s="2105"/>
      <c r="H33" s="2105"/>
      <c r="I33" s="2105"/>
      <c r="J33" s="2106">
        <f>SUM(J18:N32)</f>
        <v>2247001</v>
      </c>
      <c r="K33" s="2107"/>
      <c r="L33" s="2107"/>
      <c r="M33" s="2107"/>
      <c r="N33" s="2107"/>
      <c r="O33" s="2108"/>
      <c r="P33" s="2109"/>
      <c r="Q33" s="2109"/>
      <c r="R33" s="2109"/>
      <c r="S33" s="2109"/>
      <c r="T33" s="2109"/>
      <c r="U33" s="2109"/>
      <c r="Y33" s="253" t="s">
        <v>1260</v>
      </c>
      <c r="Z33" s="530">
        <f>SUM(Z18:Z32)</f>
        <v>1405000</v>
      </c>
      <c r="AA33" s="533">
        <f>SUM(AA18:AA32)</f>
        <v>842001</v>
      </c>
    </row>
    <row r="34" spans="2:27" ht="21" customHeight="1" thickTop="1" x14ac:dyDescent="0.15">
      <c r="C34" s="2112" t="s">
        <v>2296</v>
      </c>
      <c r="D34" s="2113"/>
      <c r="E34" s="2113"/>
      <c r="F34" s="2113"/>
      <c r="G34" s="2113"/>
      <c r="H34" s="2113"/>
      <c r="I34" s="2113"/>
      <c r="J34" s="2114">
        <f>H14-J33</f>
        <v>152999</v>
      </c>
      <c r="K34" s="2115"/>
      <c r="L34" s="2115"/>
      <c r="M34" s="2115"/>
      <c r="N34" s="2116"/>
      <c r="O34" s="2117" t="s">
        <v>2298</v>
      </c>
      <c r="P34" s="2118"/>
      <c r="Q34" s="2118"/>
      <c r="R34" s="2118"/>
      <c r="S34" s="2119"/>
      <c r="T34" s="2119"/>
      <c r="U34" s="2120"/>
      <c r="Z34" s="427"/>
      <c r="AA34" s="817"/>
    </row>
    <row r="35" spans="2:27" ht="16.149999999999999" customHeight="1" x14ac:dyDescent="0.15">
      <c r="Y35" s="236"/>
    </row>
    <row r="36" spans="2:27" s="66" customFormat="1" ht="16.149999999999999" customHeight="1" x14ac:dyDescent="0.15">
      <c r="B36" s="66" t="s">
        <v>1261</v>
      </c>
    </row>
    <row r="37" spans="2:27" s="66" customFormat="1" ht="16.149999999999999" customHeight="1" x14ac:dyDescent="0.15">
      <c r="C37" s="1789"/>
      <c r="D37" s="1434"/>
      <c r="E37" s="1434"/>
      <c r="F37" s="2110" t="s">
        <v>1262</v>
      </c>
      <c r="G37" s="1434"/>
      <c r="H37" s="1434"/>
      <c r="I37" s="2111"/>
      <c r="J37" s="2110" t="s">
        <v>1263</v>
      </c>
      <c r="K37" s="1434"/>
      <c r="L37" s="1434"/>
      <c r="M37" s="1434"/>
      <c r="N37" s="1434"/>
      <c r="O37" s="2111"/>
      <c r="P37" s="1790" t="s">
        <v>205</v>
      </c>
      <c r="Q37" s="1434"/>
      <c r="R37" s="1434"/>
      <c r="S37" s="1434"/>
      <c r="T37" s="1434"/>
      <c r="U37" s="1430"/>
    </row>
    <row r="38" spans="2:27" s="66" customFormat="1" ht="16.149999999999999" customHeight="1" x14ac:dyDescent="0.15">
      <c r="C38" s="2101" t="s">
        <v>1264</v>
      </c>
      <c r="D38" s="1620"/>
      <c r="E38" s="1620"/>
      <c r="F38" s="2102" t="s">
        <v>1265</v>
      </c>
      <c r="G38" s="1620"/>
      <c r="H38" s="1620"/>
      <c r="I38" s="2103"/>
      <c r="J38" s="2102" t="s">
        <v>1265</v>
      </c>
      <c r="K38" s="1620"/>
      <c r="L38" s="1621"/>
      <c r="M38" s="2101" t="s">
        <v>1249</v>
      </c>
      <c r="N38" s="1620"/>
      <c r="O38" s="2103"/>
      <c r="P38" s="1272" t="s">
        <v>1265</v>
      </c>
      <c r="Q38" s="1620"/>
      <c r="R38" s="1621"/>
      <c r="S38" s="2101" t="s">
        <v>1249</v>
      </c>
      <c r="T38" s="1620"/>
      <c r="U38" s="1621"/>
    </row>
    <row r="39" spans="2:27" s="66" customFormat="1" ht="16.149999999999999" customHeight="1" x14ac:dyDescent="0.15">
      <c r="C39" s="1801"/>
      <c r="D39" s="1623"/>
      <c r="E39" s="1623"/>
      <c r="F39" s="2099" t="s">
        <v>1266</v>
      </c>
      <c r="G39" s="1623"/>
      <c r="H39" s="1623"/>
      <c r="I39" s="2100"/>
      <c r="J39" s="2099" t="s">
        <v>1267</v>
      </c>
      <c r="K39" s="1623"/>
      <c r="L39" s="1624"/>
      <c r="M39" s="1801" t="s">
        <v>1268</v>
      </c>
      <c r="N39" s="1623"/>
      <c r="O39" s="2100"/>
      <c r="P39" s="1274" t="s">
        <v>1269</v>
      </c>
      <c r="Q39" s="1623"/>
      <c r="R39" s="1624"/>
      <c r="S39" s="1801" t="s">
        <v>1268</v>
      </c>
      <c r="T39" s="1623"/>
      <c r="U39" s="1624"/>
    </row>
    <row r="40" spans="2:27" s="66" customFormat="1" ht="16.149999999999999" customHeight="1" x14ac:dyDescent="0.15">
      <c r="C40" s="2091"/>
      <c r="D40" s="2092"/>
      <c r="E40" s="2092"/>
      <c r="F40" s="2093">
        <v>200000</v>
      </c>
      <c r="G40" s="2094"/>
      <c r="H40" s="2094"/>
      <c r="I40" s="2095"/>
      <c r="J40" s="2093">
        <v>126000</v>
      </c>
      <c r="K40" s="2094"/>
      <c r="L40" s="2096"/>
      <c r="M40" s="2097">
        <v>168000</v>
      </c>
      <c r="N40" s="2094"/>
      <c r="O40" s="2095"/>
      <c r="P40" s="2085">
        <f>F40+J40</f>
        <v>326000</v>
      </c>
      <c r="Q40" s="2086"/>
      <c r="R40" s="2087"/>
      <c r="S40" s="2098">
        <f>M40</f>
        <v>168000</v>
      </c>
      <c r="T40" s="2086"/>
      <c r="U40" s="2087"/>
    </row>
    <row r="41" spans="2:27" s="66" customFormat="1" ht="16.149999999999999" customHeight="1" x14ac:dyDescent="0.15">
      <c r="C41" s="2091"/>
      <c r="D41" s="2092"/>
      <c r="E41" s="2092"/>
      <c r="F41" s="2093">
        <v>150000</v>
      </c>
      <c r="G41" s="2094"/>
      <c r="H41" s="2094"/>
      <c r="I41" s="2095"/>
      <c r="J41" s="2093">
        <v>126000</v>
      </c>
      <c r="K41" s="2094"/>
      <c r="L41" s="2096"/>
      <c r="M41" s="2097">
        <v>168000</v>
      </c>
      <c r="N41" s="2094"/>
      <c r="O41" s="2095"/>
      <c r="P41" s="2085">
        <f>F41+J41</f>
        <v>276000</v>
      </c>
      <c r="Q41" s="2086"/>
      <c r="R41" s="2087"/>
      <c r="S41" s="2098">
        <f>M41</f>
        <v>168000</v>
      </c>
      <c r="T41" s="2086"/>
      <c r="U41" s="2087"/>
    </row>
    <row r="42" spans="2:27" s="66" customFormat="1" ht="16.149999999999999" customHeight="1" x14ac:dyDescent="0.15">
      <c r="C42" s="2091"/>
      <c r="D42" s="2092"/>
      <c r="E42" s="2092"/>
      <c r="F42" s="2093">
        <v>120000</v>
      </c>
      <c r="G42" s="2094"/>
      <c r="H42" s="2094"/>
      <c r="I42" s="2095"/>
      <c r="J42" s="2093">
        <v>126000</v>
      </c>
      <c r="K42" s="2094"/>
      <c r="L42" s="2096"/>
      <c r="M42" s="2097">
        <v>168000</v>
      </c>
      <c r="N42" s="2094"/>
      <c r="O42" s="2095"/>
      <c r="P42" s="2085">
        <f>F42+J42</f>
        <v>246000</v>
      </c>
      <c r="Q42" s="2086"/>
      <c r="R42" s="2087"/>
      <c r="S42" s="2098">
        <f>M42</f>
        <v>168000</v>
      </c>
      <c r="T42" s="2086"/>
      <c r="U42" s="2087"/>
    </row>
    <row r="43" spans="2:27" s="66" customFormat="1" ht="16.149999999999999" customHeight="1" x14ac:dyDescent="0.15">
      <c r="C43" s="2091"/>
      <c r="D43" s="2092"/>
      <c r="E43" s="2092"/>
      <c r="F43" s="2093">
        <v>100000</v>
      </c>
      <c r="G43" s="2094"/>
      <c r="H43" s="2094"/>
      <c r="I43" s="2095"/>
      <c r="J43" s="2093">
        <v>126000</v>
      </c>
      <c r="K43" s="2094"/>
      <c r="L43" s="2096"/>
      <c r="M43" s="2097">
        <v>168000</v>
      </c>
      <c r="N43" s="2094"/>
      <c r="O43" s="2095"/>
      <c r="P43" s="2085">
        <f>F43+J43</f>
        <v>226000</v>
      </c>
      <c r="Q43" s="2086"/>
      <c r="R43" s="2087"/>
      <c r="S43" s="2098">
        <f>M43</f>
        <v>168000</v>
      </c>
      <c r="T43" s="2086"/>
      <c r="U43" s="2087"/>
    </row>
    <row r="44" spans="2:27" ht="16.149999999999999" customHeight="1" x14ac:dyDescent="0.15">
      <c r="C44" s="2091"/>
      <c r="D44" s="2092"/>
      <c r="E44" s="2092"/>
      <c r="F44" s="2093">
        <v>60000</v>
      </c>
      <c r="G44" s="2094"/>
      <c r="H44" s="2094"/>
      <c r="I44" s="2095"/>
      <c r="J44" s="2093">
        <v>126000</v>
      </c>
      <c r="K44" s="2094"/>
      <c r="L44" s="2096"/>
      <c r="M44" s="2097">
        <v>168000</v>
      </c>
      <c r="N44" s="2094"/>
      <c r="O44" s="2095"/>
      <c r="P44" s="2085">
        <f>F44+J44</f>
        <v>186000</v>
      </c>
      <c r="Q44" s="2086"/>
      <c r="R44" s="2087"/>
      <c r="S44" s="2098">
        <f>M44</f>
        <v>168000</v>
      </c>
      <c r="T44" s="2086"/>
      <c r="U44" s="2087"/>
    </row>
    <row r="45" spans="2:27" ht="16.149999999999999" customHeight="1" x14ac:dyDescent="0.15">
      <c r="C45" s="2091"/>
      <c r="D45" s="2092"/>
      <c r="E45" s="2092"/>
      <c r="F45" s="2093"/>
      <c r="G45" s="2094"/>
      <c r="H45" s="2094"/>
      <c r="I45" s="2095"/>
      <c r="J45" s="2093"/>
      <c r="K45" s="2094"/>
      <c r="L45" s="2096"/>
      <c r="M45" s="2097"/>
      <c r="N45" s="2094"/>
      <c r="O45" s="2095"/>
      <c r="P45" s="2085"/>
      <c r="Q45" s="2086"/>
      <c r="R45" s="2087"/>
      <c r="S45" s="2098"/>
      <c r="T45" s="2086"/>
      <c r="U45" s="2087"/>
    </row>
    <row r="46" spans="2:27" ht="16.149999999999999" customHeight="1" x14ac:dyDescent="0.15">
      <c r="C46" s="2091"/>
      <c r="D46" s="2092"/>
      <c r="E46" s="2092"/>
      <c r="F46" s="2093"/>
      <c r="G46" s="2094"/>
      <c r="H46" s="2094"/>
      <c r="I46" s="2095"/>
      <c r="J46" s="2093"/>
      <c r="K46" s="2094"/>
      <c r="L46" s="2096"/>
      <c r="M46" s="2097"/>
      <c r="N46" s="2094"/>
      <c r="O46" s="2095"/>
      <c r="P46" s="2085"/>
      <c r="Q46" s="2086"/>
      <c r="R46" s="2087"/>
      <c r="S46" s="2098"/>
      <c r="T46" s="2086"/>
      <c r="U46" s="2087"/>
    </row>
    <row r="47" spans="2:27" ht="16.149999999999999" customHeight="1" thickBot="1" x14ac:dyDescent="0.2">
      <c r="C47" s="2078"/>
      <c r="D47" s="2079"/>
      <c r="E47" s="2079"/>
      <c r="F47" s="2080"/>
      <c r="G47" s="2081"/>
      <c r="H47" s="2081"/>
      <c r="I47" s="2082"/>
      <c r="J47" s="2080"/>
      <c r="K47" s="2081"/>
      <c r="L47" s="2083"/>
      <c r="M47" s="2084"/>
      <c r="N47" s="2081"/>
      <c r="O47" s="2082"/>
      <c r="P47" s="2085"/>
      <c r="Q47" s="2086"/>
      <c r="R47" s="2087"/>
      <c r="S47" s="2088"/>
      <c r="T47" s="2089"/>
      <c r="U47" s="2090"/>
    </row>
    <row r="48" spans="2:27" ht="16.149999999999999" customHeight="1" thickTop="1" x14ac:dyDescent="0.15">
      <c r="C48" s="2070" t="s">
        <v>10</v>
      </c>
      <c r="D48" s="2071"/>
      <c r="E48" s="2071"/>
      <c r="F48" s="2072">
        <f>SUM(F40:I47)</f>
        <v>630000</v>
      </c>
      <c r="G48" s="2073"/>
      <c r="H48" s="2073"/>
      <c r="I48" s="2074"/>
      <c r="J48" s="2072">
        <f>SUM(J40:L47)</f>
        <v>630000</v>
      </c>
      <c r="K48" s="2073"/>
      <c r="L48" s="2075"/>
      <c r="M48" s="2076">
        <f>SUM(M40:O47)</f>
        <v>840000</v>
      </c>
      <c r="N48" s="2073"/>
      <c r="O48" s="2074"/>
      <c r="P48" s="2077">
        <f>SUM(P40:R47)</f>
        <v>1260000</v>
      </c>
      <c r="Q48" s="2073"/>
      <c r="R48" s="2075"/>
      <c r="S48" s="2076">
        <f>SUM(S40:U47)</f>
        <v>840000</v>
      </c>
      <c r="T48" s="2073"/>
      <c r="U48" s="2075"/>
    </row>
  </sheetData>
  <dataConsolidate/>
  <mergeCells count="139">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 ref="C19:I19"/>
    <mergeCell ref="J19:N19"/>
    <mergeCell ref="O19:U19"/>
    <mergeCell ref="C20:I20"/>
    <mergeCell ref="J20:N20"/>
    <mergeCell ref="O20:U20"/>
    <mergeCell ref="C17:I17"/>
    <mergeCell ref="J17:N17"/>
    <mergeCell ref="O17:U17"/>
    <mergeCell ref="C18:I18"/>
    <mergeCell ref="J18:N18"/>
    <mergeCell ref="O18:U18"/>
    <mergeCell ref="C23:I23"/>
    <mergeCell ref="J23:N23"/>
    <mergeCell ref="O23:U23"/>
    <mergeCell ref="C24:I24"/>
    <mergeCell ref="J24:N24"/>
    <mergeCell ref="O24:U24"/>
    <mergeCell ref="C21:I21"/>
    <mergeCell ref="J21:N21"/>
    <mergeCell ref="O21:U21"/>
    <mergeCell ref="C22:I22"/>
    <mergeCell ref="J22:N22"/>
    <mergeCell ref="O22:U22"/>
    <mergeCell ref="C27:I27"/>
    <mergeCell ref="J27:N27"/>
    <mergeCell ref="O27:U27"/>
    <mergeCell ref="C28:I28"/>
    <mergeCell ref="J28:N28"/>
    <mergeCell ref="O28:U28"/>
    <mergeCell ref="C25:I25"/>
    <mergeCell ref="J25:N25"/>
    <mergeCell ref="O25:U25"/>
    <mergeCell ref="C26:I26"/>
    <mergeCell ref="J26:N26"/>
    <mergeCell ref="O26:U26"/>
    <mergeCell ref="C31:I31"/>
    <mergeCell ref="J31:N31"/>
    <mergeCell ref="O31:U31"/>
    <mergeCell ref="C32:I32"/>
    <mergeCell ref="J32:N32"/>
    <mergeCell ref="O32:U32"/>
    <mergeCell ref="C29:I29"/>
    <mergeCell ref="J29:N29"/>
    <mergeCell ref="O29:U29"/>
    <mergeCell ref="C30:I30"/>
    <mergeCell ref="J30:N30"/>
    <mergeCell ref="O30:U30"/>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40:E40"/>
    <mergeCell ref="F40:I40"/>
    <mergeCell ref="J40:L40"/>
    <mergeCell ref="M40:O40"/>
    <mergeCell ref="P40:R40"/>
    <mergeCell ref="S40:U40"/>
    <mergeCell ref="C39:E39"/>
    <mergeCell ref="F39:I39"/>
    <mergeCell ref="J39:L39"/>
    <mergeCell ref="M39:O39"/>
    <mergeCell ref="P39:R39"/>
    <mergeCell ref="S39:U39"/>
    <mergeCell ref="C42:E42"/>
    <mergeCell ref="F42:I42"/>
    <mergeCell ref="J42:L42"/>
    <mergeCell ref="M42:O42"/>
    <mergeCell ref="P42:R42"/>
    <mergeCell ref="S42:U42"/>
    <mergeCell ref="C41:E41"/>
    <mergeCell ref="F41:I41"/>
    <mergeCell ref="J41:L41"/>
    <mergeCell ref="M41:O41"/>
    <mergeCell ref="P41:R41"/>
    <mergeCell ref="S41:U41"/>
    <mergeCell ref="C44:E44"/>
    <mergeCell ref="F44:I44"/>
    <mergeCell ref="J44:L44"/>
    <mergeCell ref="M44:O44"/>
    <mergeCell ref="P44:R44"/>
    <mergeCell ref="S44:U44"/>
    <mergeCell ref="C43:E43"/>
    <mergeCell ref="F43:I43"/>
    <mergeCell ref="J43:L43"/>
    <mergeCell ref="M43:O43"/>
    <mergeCell ref="P43:R43"/>
    <mergeCell ref="S43:U43"/>
    <mergeCell ref="C46:E46"/>
    <mergeCell ref="F46:I46"/>
    <mergeCell ref="J46:L46"/>
    <mergeCell ref="M46:O46"/>
    <mergeCell ref="P46:R46"/>
    <mergeCell ref="S46:U46"/>
    <mergeCell ref="C45:E45"/>
    <mergeCell ref="F45:I45"/>
    <mergeCell ref="J45:L45"/>
    <mergeCell ref="M45:O45"/>
    <mergeCell ref="P45:R45"/>
    <mergeCell ref="S45:U45"/>
    <mergeCell ref="C48:E48"/>
    <mergeCell ref="F48:I48"/>
    <mergeCell ref="J48:L48"/>
    <mergeCell ref="M48:O48"/>
    <mergeCell ref="P48:R48"/>
    <mergeCell ref="S48:U48"/>
    <mergeCell ref="C47:E47"/>
    <mergeCell ref="F47:I47"/>
    <mergeCell ref="J47:L47"/>
    <mergeCell ref="M47:O47"/>
    <mergeCell ref="P47:R47"/>
    <mergeCell ref="S47:U47"/>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90" zoomScaleNormal="100" zoomScaleSheetLayoutView="90" workbookViewId="0">
      <selection activeCell="S8" sqref="S8"/>
    </sheetView>
  </sheetViews>
  <sheetFormatPr defaultRowHeight="13.5" x14ac:dyDescent="0.15"/>
  <cols>
    <col min="1" max="51" width="2.625" style="66" customWidth="1"/>
  </cols>
  <sheetData>
    <row r="1" spans="1:51" s="63" customFormat="1" ht="15.6" customHeight="1" x14ac:dyDescent="0.15">
      <c r="A1" s="67" t="s">
        <v>1146</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row>
    <row r="2" spans="1:51" s="63" customFormat="1" ht="15.6"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row>
    <row r="3" spans="1:51" s="66" customFormat="1" ht="15.6" customHeight="1" x14ac:dyDescent="0.15">
      <c r="Z3" s="1974"/>
      <c r="AA3" s="1974"/>
      <c r="AB3" s="1974"/>
      <c r="AC3" s="1974"/>
      <c r="AD3" s="1974"/>
      <c r="AE3" s="1974"/>
    </row>
    <row r="4" spans="1:51" ht="15.6" customHeight="1" x14ac:dyDescent="0.15">
      <c r="Z4" s="965" t="s">
        <v>1237</v>
      </c>
      <c r="AA4" s="965"/>
      <c r="AB4" s="965"/>
      <c r="AC4" s="965"/>
      <c r="AD4" s="965"/>
      <c r="AE4" s="965"/>
      <c r="AG4" s="225"/>
    </row>
    <row r="5" spans="1:51" ht="15.6" customHeight="1" x14ac:dyDescent="0.15">
      <c r="Z5" s="225"/>
      <c r="AA5" s="225"/>
      <c r="AB5" s="225"/>
      <c r="AC5" s="225"/>
      <c r="AD5" s="225"/>
      <c r="AE5" s="225"/>
      <c r="AG5" s="225"/>
    </row>
    <row r="6" spans="1:51" ht="15.6" customHeight="1" x14ac:dyDescent="0.15">
      <c r="B6" s="66" t="s">
        <v>1144</v>
      </c>
      <c r="M6" s="221"/>
    </row>
    <row r="7" spans="1:51" ht="15.6" customHeight="1" x14ac:dyDescent="0.15"/>
    <row r="8" spans="1:51" ht="15.6" customHeight="1" x14ac:dyDescent="0.15">
      <c r="V8"/>
      <c r="Z8" s="2143" t="str">
        <f>はじめに!D5</f>
        <v>真庭集落協定</v>
      </c>
      <c r="AA8" s="2143"/>
      <c r="AB8" s="2143"/>
      <c r="AC8" s="2143"/>
      <c r="AD8" s="2143"/>
      <c r="AE8" s="2143"/>
      <c r="AY8"/>
    </row>
    <row r="9" spans="1:51" ht="15.6" customHeight="1" x14ac:dyDescent="0.15">
      <c r="Z9" s="2143" t="str">
        <f>はじめに!D6</f>
        <v>真庭　太郎</v>
      </c>
      <c r="AA9" s="2143"/>
      <c r="AB9" s="2143"/>
      <c r="AC9" s="2143"/>
      <c r="AD9" s="2143"/>
      <c r="AE9" s="2143"/>
    </row>
    <row r="10" spans="1:51" ht="15.6" customHeight="1" x14ac:dyDescent="0.15">
      <c r="W10" s="225"/>
      <c r="X10" s="225"/>
      <c r="Y10" s="225"/>
      <c r="Z10" s="225"/>
      <c r="AA10" s="225"/>
      <c r="AB10" s="225"/>
      <c r="AC10" s="225"/>
      <c r="AD10" s="225"/>
      <c r="AE10" s="225"/>
      <c r="AF10" s="225"/>
    </row>
    <row r="11" spans="1:51" ht="15.6" customHeight="1" x14ac:dyDescent="0.15"/>
    <row r="12" spans="1:51" ht="15.6" customHeight="1" x14ac:dyDescent="0.15">
      <c r="A12" s="1787" t="s">
        <v>1921</v>
      </c>
      <c r="B12" s="1787"/>
      <c r="C12" s="1787"/>
      <c r="D12" s="1787"/>
      <c r="E12" s="1787"/>
      <c r="F12" s="1787"/>
      <c r="G12" s="1787"/>
      <c r="H12" s="1787"/>
      <c r="I12" s="1787"/>
      <c r="J12" s="1787"/>
      <c r="K12" s="1787"/>
      <c r="L12" s="1787"/>
      <c r="M12" s="1787"/>
      <c r="N12" s="1787"/>
      <c r="O12" s="1787"/>
      <c r="P12" s="1787"/>
      <c r="Q12" s="1787"/>
      <c r="R12" s="1787"/>
      <c r="S12" s="1787"/>
      <c r="T12" s="1787"/>
      <c r="U12" s="1787"/>
      <c r="V12" s="1787"/>
      <c r="W12" s="1787"/>
      <c r="X12" s="1787"/>
      <c r="Y12" s="1787"/>
      <c r="Z12" s="1787"/>
      <c r="AA12" s="1787"/>
      <c r="AB12" s="1787"/>
      <c r="AC12" s="1787"/>
      <c r="AD12" s="1787"/>
      <c r="AE12" s="1787"/>
      <c r="AF12" s="1787"/>
      <c r="AG12" s="1787"/>
    </row>
    <row r="13" spans="1:51" ht="15.6" customHeight="1" x14ac:dyDescent="0.15"/>
    <row r="14" spans="1:51" ht="15.6" customHeight="1" x14ac:dyDescent="0.15">
      <c r="A14" s="1968" t="s">
        <v>2265</v>
      </c>
      <c r="B14" s="1968"/>
      <c r="C14" s="1968"/>
      <c r="D14" s="1968"/>
      <c r="E14" s="1968"/>
      <c r="F14" s="1968"/>
      <c r="G14" s="1968"/>
      <c r="H14" s="1968"/>
      <c r="I14" s="1968"/>
      <c r="J14" s="1968"/>
      <c r="K14" s="1968"/>
      <c r="L14" s="1968"/>
      <c r="M14" s="1968"/>
      <c r="N14" s="1968"/>
      <c r="O14" s="1968"/>
      <c r="P14" s="1968"/>
      <c r="Q14" s="1968"/>
      <c r="R14" s="1968"/>
      <c r="S14" s="1968"/>
      <c r="T14" s="1968"/>
      <c r="U14" s="1968"/>
      <c r="V14" s="1968"/>
      <c r="W14" s="1968"/>
      <c r="X14" s="1968"/>
      <c r="Y14" s="1968"/>
      <c r="Z14" s="1968"/>
      <c r="AA14" s="1968"/>
      <c r="AB14" s="1968"/>
      <c r="AC14" s="1968"/>
      <c r="AD14" s="1968"/>
      <c r="AE14" s="1968"/>
    </row>
    <row r="15" spans="1:51" ht="15.6" customHeight="1" x14ac:dyDescent="0.15">
      <c r="A15" s="1968"/>
      <c r="B15" s="1968"/>
      <c r="C15" s="1968"/>
      <c r="D15" s="1968"/>
      <c r="E15" s="1968"/>
      <c r="F15" s="1968"/>
      <c r="G15" s="1968"/>
      <c r="H15" s="1968"/>
      <c r="I15" s="1968"/>
      <c r="J15" s="1968"/>
      <c r="K15" s="1968"/>
      <c r="L15" s="1968"/>
      <c r="M15" s="1968"/>
      <c r="N15" s="1968"/>
      <c r="O15" s="1968"/>
      <c r="P15" s="1968"/>
      <c r="Q15" s="1968"/>
      <c r="R15" s="1968"/>
      <c r="S15" s="1968"/>
      <c r="T15" s="1968"/>
      <c r="U15" s="1968"/>
      <c r="V15" s="1968"/>
      <c r="W15" s="1968"/>
      <c r="X15" s="1968"/>
      <c r="Y15" s="1968"/>
      <c r="Z15" s="1968"/>
      <c r="AA15" s="1968"/>
      <c r="AB15" s="1968"/>
      <c r="AC15" s="1968"/>
      <c r="AD15" s="1968"/>
      <c r="AE15" s="1968"/>
    </row>
    <row r="16" spans="1:51" ht="15.6" customHeight="1" x14ac:dyDescent="0.15">
      <c r="A16" s="1968"/>
      <c r="B16" s="1968"/>
      <c r="C16" s="1968"/>
      <c r="D16" s="1968"/>
      <c r="E16" s="1968"/>
      <c r="F16" s="1968"/>
      <c r="G16" s="1968"/>
      <c r="H16" s="1968"/>
      <c r="I16" s="1968"/>
      <c r="J16" s="1968"/>
      <c r="K16" s="1968"/>
      <c r="L16" s="1968"/>
      <c r="M16" s="1968"/>
      <c r="N16" s="1968"/>
      <c r="O16" s="1968"/>
      <c r="P16" s="1968"/>
      <c r="Q16" s="1968"/>
      <c r="R16" s="1968"/>
      <c r="S16" s="1968"/>
      <c r="T16" s="1968"/>
      <c r="U16" s="1968"/>
      <c r="V16" s="1968"/>
      <c r="W16" s="1968"/>
      <c r="X16" s="1968"/>
      <c r="Y16" s="1968"/>
      <c r="Z16" s="1968"/>
      <c r="AA16" s="1968"/>
      <c r="AB16" s="1968"/>
      <c r="AC16" s="1968"/>
      <c r="AD16" s="1968"/>
      <c r="AE16" s="1968"/>
    </row>
    <row r="17" spans="1:31" ht="15.6" customHeight="1" x14ac:dyDescent="0.15">
      <c r="A17" s="1968"/>
      <c r="B17" s="1968"/>
      <c r="C17" s="1968"/>
      <c r="D17" s="1968"/>
      <c r="E17" s="1968"/>
      <c r="F17" s="1968"/>
      <c r="G17" s="1968"/>
      <c r="H17" s="1968"/>
      <c r="I17" s="1968"/>
      <c r="J17" s="1968"/>
      <c r="K17" s="1968"/>
      <c r="L17" s="1968"/>
      <c r="M17" s="1968"/>
      <c r="N17" s="1968"/>
      <c r="O17" s="1968"/>
      <c r="P17" s="1968"/>
      <c r="Q17" s="1968"/>
      <c r="R17" s="1968"/>
      <c r="S17" s="1968"/>
      <c r="T17" s="1968"/>
      <c r="U17" s="1968"/>
      <c r="V17" s="1968"/>
      <c r="W17" s="1968"/>
      <c r="X17" s="1968"/>
      <c r="Y17" s="1968"/>
      <c r="Z17" s="1968"/>
      <c r="AA17" s="1968"/>
      <c r="AB17" s="1968"/>
      <c r="AC17" s="1968"/>
      <c r="AD17" s="1968"/>
      <c r="AE17" s="1968"/>
    </row>
    <row r="18" spans="1:31" ht="15.6" customHeight="1" x14ac:dyDescent="0.15"/>
    <row r="19" spans="1:31" ht="15.6" customHeight="1" x14ac:dyDescent="0.15">
      <c r="P19" s="66" t="s">
        <v>1922</v>
      </c>
    </row>
    <row r="20" spans="1:31" ht="15.6" customHeight="1" x14ac:dyDescent="0.15"/>
    <row r="21" spans="1:31" ht="15.6" customHeight="1" x14ac:dyDescent="0.15">
      <c r="C21" s="2147" t="s">
        <v>1925</v>
      </c>
      <c r="D21" s="2148"/>
      <c r="E21" s="2148"/>
      <c r="F21" s="2148"/>
      <c r="G21" s="2148"/>
      <c r="H21" s="2148"/>
      <c r="I21" s="2149"/>
      <c r="J21" s="2150"/>
      <c r="K21" s="2151"/>
      <c r="L21" s="2151"/>
      <c r="M21" s="2151"/>
      <c r="N21" s="2151"/>
      <c r="O21" s="2151"/>
      <c r="P21" s="2151"/>
      <c r="Q21" s="2151"/>
      <c r="R21" s="2151"/>
      <c r="S21" s="2151"/>
      <c r="T21" s="2151"/>
      <c r="U21" s="2151"/>
      <c r="V21" s="2151"/>
      <c r="W21" s="2151"/>
      <c r="X21" s="2151"/>
      <c r="Y21" s="2151"/>
      <c r="Z21" s="2151"/>
      <c r="AA21" s="2151"/>
      <c r="AB21" s="2151"/>
      <c r="AC21" s="2151"/>
      <c r="AD21" s="2152"/>
    </row>
    <row r="22" spans="1:31" ht="15.6" customHeight="1" x14ac:dyDescent="0.15">
      <c r="C22" s="2147" t="s">
        <v>1926</v>
      </c>
      <c r="D22" s="2148"/>
      <c r="E22" s="2148"/>
      <c r="F22" s="2148"/>
      <c r="G22" s="2148"/>
      <c r="H22" s="2148"/>
      <c r="I22" s="2149"/>
      <c r="J22" s="2150"/>
      <c r="K22" s="2151"/>
      <c r="L22" s="2151"/>
      <c r="M22" s="2151"/>
      <c r="N22" s="2151"/>
      <c r="O22" s="2151"/>
      <c r="P22" s="2151"/>
      <c r="Q22" s="2151"/>
      <c r="R22" s="2151"/>
      <c r="S22" s="2151"/>
      <c r="T22" s="2151"/>
      <c r="U22" s="2151"/>
      <c r="V22" s="2151"/>
      <c r="W22" s="2151"/>
      <c r="X22" s="2151"/>
      <c r="Y22" s="2151"/>
      <c r="Z22" s="2151"/>
      <c r="AA22" s="2151"/>
      <c r="AB22" s="2151"/>
      <c r="AC22" s="2151"/>
      <c r="AD22" s="2152"/>
    </row>
    <row r="23" spans="1:31" ht="15.6" customHeight="1" x14ac:dyDescent="0.15">
      <c r="C23" s="2147" t="s">
        <v>1927</v>
      </c>
      <c r="D23" s="2148"/>
      <c r="E23" s="2148"/>
      <c r="F23" s="2148"/>
      <c r="G23" s="2148"/>
      <c r="H23" s="2148"/>
      <c r="I23" s="2149"/>
      <c r="J23" s="2150"/>
      <c r="K23" s="2151"/>
      <c r="L23" s="2151"/>
      <c r="M23" s="2151"/>
      <c r="N23" s="2151"/>
      <c r="O23" s="2151"/>
      <c r="P23" s="2151"/>
      <c r="Q23" s="2151"/>
      <c r="R23" s="2151"/>
      <c r="S23" s="2151"/>
      <c r="T23" s="2151"/>
      <c r="U23" s="2151"/>
      <c r="V23" s="2151"/>
      <c r="W23" s="2151"/>
      <c r="X23" s="2151"/>
      <c r="Y23" s="2151"/>
      <c r="Z23" s="2151"/>
      <c r="AA23" s="2151"/>
      <c r="AB23" s="2151"/>
      <c r="AC23" s="2151"/>
      <c r="AD23" s="2152"/>
    </row>
    <row r="24" spans="1:31" ht="15.6" customHeight="1" x14ac:dyDescent="0.15">
      <c r="C24" s="2147" t="s">
        <v>1928</v>
      </c>
      <c r="D24" s="2148"/>
      <c r="E24" s="2148"/>
      <c r="F24" s="2148"/>
      <c r="G24" s="2148"/>
      <c r="H24" s="2148"/>
      <c r="I24" s="2149"/>
      <c r="J24" s="2150"/>
      <c r="K24" s="2151"/>
      <c r="L24" s="2151"/>
      <c r="M24" s="2151"/>
      <c r="N24" s="2151"/>
      <c r="O24" s="2151"/>
      <c r="P24" s="2151"/>
      <c r="Q24" s="2151"/>
      <c r="R24" s="2151"/>
      <c r="S24" s="2151"/>
      <c r="T24" s="2151"/>
      <c r="U24" s="2151"/>
      <c r="V24" s="2151"/>
      <c r="W24" s="2151"/>
      <c r="X24" s="2151"/>
      <c r="Y24" s="2151"/>
      <c r="Z24" s="2151"/>
      <c r="AA24" s="2151"/>
      <c r="AB24" s="2151"/>
      <c r="AC24" s="2151"/>
      <c r="AD24" s="2152"/>
    </row>
    <row r="25" spans="1:31" ht="15.6" customHeight="1" x14ac:dyDescent="0.15">
      <c r="C25" s="2147" t="s">
        <v>1929</v>
      </c>
      <c r="D25" s="2148"/>
      <c r="E25" s="2148"/>
      <c r="F25" s="2148"/>
      <c r="G25" s="2148"/>
      <c r="H25" s="2148"/>
      <c r="I25" s="2149"/>
      <c r="J25" s="2150"/>
      <c r="K25" s="2151"/>
      <c r="L25" s="2151"/>
      <c r="M25" s="2151"/>
      <c r="N25" s="2151"/>
      <c r="O25" s="2151"/>
      <c r="P25" s="2151"/>
      <c r="Q25" s="2151"/>
      <c r="R25" s="2151"/>
      <c r="S25" s="2151"/>
      <c r="T25" s="2151"/>
      <c r="U25" s="2151"/>
      <c r="V25" s="2151"/>
      <c r="W25" s="2151"/>
      <c r="X25" s="2151"/>
      <c r="Y25" s="2151"/>
      <c r="Z25" s="2151"/>
      <c r="AA25" s="2151"/>
      <c r="AB25" s="2151"/>
      <c r="AC25" s="2151"/>
      <c r="AD25" s="2152"/>
    </row>
    <row r="26" spans="1:31" ht="15.6" customHeight="1" x14ac:dyDescent="0.15">
      <c r="C26" s="2146" t="s">
        <v>1923</v>
      </c>
      <c r="D26" s="2146"/>
      <c r="E26" s="2146"/>
      <c r="F26" s="2146"/>
      <c r="G26" s="2146"/>
      <c r="H26" s="2146"/>
      <c r="I26" s="2146"/>
      <c r="J26" s="2146"/>
      <c r="K26" s="2146"/>
      <c r="L26" s="2146"/>
      <c r="M26" s="2146"/>
      <c r="N26" s="2146"/>
      <c r="O26" s="2146"/>
      <c r="P26" s="2146"/>
      <c r="Q26" s="2146"/>
      <c r="R26" s="2146"/>
      <c r="S26" s="2146"/>
      <c r="T26" s="2146"/>
      <c r="U26" s="2146"/>
      <c r="V26" s="2146"/>
      <c r="W26" s="2146"/>
      <c r="X26" s="2146"/>
    </row>
    <row r="27" spans="1:31" ht="15.6" customHeight="1" x14ac:dyDescent="0.15">
      <c r="C27" s="1787" t="s">
        <v>1924</v>
      </c>
      <c r="D27" s="1787"/>
      <c r="E27" s="1787"/>
      <c r="F27" s="1787"/>
      <c r="G27" s="1787"/>
      <c r="H27" s="1787"/>
      <c r="I27" s="1787"/>
      <c r="J27" s="1787"/>
      <c r="K27" s="1787"/>
      <c r="L27" s="1787"/>
      <c r="M27" s="1787"/>
      <c r="N27" s="1787"/>
      <c r="O27" s="1787"/>
      <c r="P27" s="1787"/>
      <c r="Q27" s="1787"/>
      <c r="R27" s="1787"/>
      <c r="S27" s="1787"/>
      <c r="T27" s="1787"/>
      <c r="U27" s="1787"/>
      <c r="V27" s="1787"/>
      <c r="W27" s="1787"/>
      <c r="X27" s="1787"/>
    </row>
  </sheetData>
  <mergeCells count="17">
    <mergeCell ref="Z3:AE3"/>
    <mergeCell ref="A12:AG12"/>
    <mergeCell ref="A14:AE17"/>
    <mergeCell ref="Z8:AE8"/>
    <mergeCell ref="J25:AD25"/>
    <mergeCell ref="C26:X26"/>
    <mergeCell ref="C27:X27"/>
    <mergeCell ref="Z9:AE9"/>
    <mergeCell ref="C21:I21"/>
    <mergeCell ref="C22:I22"/>
    <mergeCell ref="C23:I23"/>
    <mergeCell ref="C24:I24"/>
    <mergeCell ref="C25:I25"/>
    <mergeCell ref="J21:AD21"/>
    <mergeCell ref="J22:AD22"/>
    <mergeCell ref="J23:AD23"/>
    <mergeCell ref="J24:AD24"/>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zoomScale="77" zoomScaleNormal="96" zoomScaleSheetLayoutView="120" workbookViewId="0">
      <selection activeCell="S8" sqref="S8"/>
    </sheetView>
  </sheetViews>
  <sheetFormatPr defaultColWidth="9" defaultRowHeight="18.75" x14ac:dyDescent="0.15"/>
  <cols>
    <col min="1" max="1" width="2.75" style="515" customWidth="1"/>
    <col min="2" max="2" width="7.25" style="515" customWidth="1"/>
    <col min="3" max="3" width="7.75" style="515" customWidth="1"/>
    <col min="4" max="4" width="8" style="515" customWidth="1"/>
    <col min="5" max="5" width="6.375" style="515" customWidth="1"/>
    <col min="6" max="7" width="7" style="515" customWidth="1"/>
    <col min="8" max="13" width="4.875" style="515" customWidth="1"/>
    <col min="14" max="14" width="9.125" style="515" customWidth="1"/>
    <col min="15" max="15" width="12.375" style="515" customWidth="1"/>
    <col min="16" max="16" width="21" style="515" customWidth="1"/>
    <col min="17" max="17" width="26" style="515" customWidth="1"/>
    <col min="18" max="25" width="7.625" style="515" customWidth="1"/>
    <col min="26" max="16384" width="9" style="515"/>
  </cols>
  <sheetData>
    <row r="1" spans="1:24" ht="19.5" x14ac:dyDescent="0.15">
      <c r="A1" s="497" t="s">
        <v>1920</v>
      </c>
      <c r="B1" s="536"/>
      <c r="Q1" s="537"/>
    </row>
    <row r="2" spans="1:24" ht="24" customHeight="1" x14ac:dyDescent="0.45">
      <c r="A2" s="538"/>
      <c r="C2" s="539"/>
      <c r="D2" s="539"/>
      <c r="E2" s="539"/>
      <c r="F2" s="539"/>
      <c r="G2" s="539"/>
      <c r="H2" s="539"/>
      <c r="I2" s="539"/>
      <c r="J2" s="539"/>
      <c r="K2" s="539"/>
      <c r="L2" s="539"/>
      <c r="M2" s="539"/>
      <c r="N2" s="539"/>
      <c r="P2" s="340" t="s">
        <v>1919</v>
      </c>
      <c r="Q2" s="720" t="str">
        <f>はじめに!D5</f>
        <v>真庭集落協定</v>
      </c>
      <c r="R2" s="539"/>
      <c r="S2" s="539"/>
      <c r="T2" s="539"/>
      <c r="U2" s="539"/>
      <c r="V2" s="539"/>
      <c r="W2" s="539"/>
    </row>
    <row r="3" spans="1:24" ht="29.25" customHeight="1" x14ac:dyDescent="0.15">
      <c r="C3" s="541"/>
      <c r="D3" s="541"/>
      <c r="E3" s="541"/>
      <c r="F3" s="433"/>
      <c r="G3" s="944"/>
      <c r="H3" s="341" t="s">
        <v>1918</v>
      </c>
      <c r="I3" s="541"/>
      <c r="J3" s="541"/>
      <c r="K3" s="541"/>
      <c r="L3" s="541"/>
      <c r="N3" s="541"/>
      <c r="O3" s="541"/>
      <c r="Q3" s="340"/>
    </row>
    <row r="4" spans="1:24" ht="21.75" customHeight="1" x14ac:dyDescent="0.15">
      <c r="C4" s="541"/>
      <c r="D4" s="541"/>
      <c r="E4" s="541"/>
      <c r="F4" s="433"/>
      <c r="G4" s="433"/>
      <c r="H4" s="816"/>
      <c r="I4" s="816" t="s">
        <v>2310</v>
      </c>
      <c r="J4" s="541"/>
      <c r="K4" s="541"/>
      <c r="L4" s="541"/>
      <c r="N4" s="541"/>
      <c r="O4" s="541"/>
      <c r="Q4" s="340"/>
    </row>
    <row r="5" spans="1:24" ht="27" customHeight="1" x14ac:dyDescent="0.15">
      <c r="B5" s="516" t="s">
        <v>1379</v>
      </c>
      <c r="C5" s="543"/>
      <c r="D5" s="543"/>
      <c r="E5" s="543"/>
      <c r="F5" s="543"/>
      <c r="G5" s="543"/>
      <c r="H5" s="543"/>
      <c r="I5" s="543"/>
      <c r="J5" s="543"/>
      <c r="K5" s="543"/>
      <c r="L5" s="543"/>
      <c r="M5" s="543"/>
      <c r="N5" s="516"/>
      <c r="O5" s="543"/>
      <c r="P5" s="543"/>
      <c r="Q5" s="543"/>
    </row>
    <row r="6" spans="1:24" ht="72.75" customHeight="1" x14ac:dyDescent="0.15">
      <c r="B6" s="2163" t="s">
        <v>2280</v>
      </c>
      <c r="C6" s="2164"/>
      <c r="D6" s="2164"/>
      <c r="E6" s="2164"/>
      <c r="F6" s="2164"/>
      <c r="G6" s="2164"/>
      <c r="H6" s="2164"/>
      <c r="I6" s="2164"/>
      <c r="J6" s="2164"/>
      <c r="K6" s="2164"/>
      <c r="L6" s="2164"/>
      <c r="M6" s="2164"/>
      <c r="N6" s="2164"/>
      <c r="O6" s="2164"/>
      <c r="P6" s="2164"/>
      <c r="Q6" s="2164"/>
    </row>
    <row r="7" spans="1:24" ht="19.5" customHeight="1" x14ac:dyDescent="0.15">
      <c r="B7" s="2160" t="s">
        <v>1381</v>
      </c>
      <c r="C7" s="2160"/>
      <c r="D7" s="2160"/>
      <c r="E7" s="2161" t="s">
        <v>1382</v>
      </c>
      <c r="F7" s="2161"/>
      <c r="G7" s="2161"/>
      <c r="H7" s="2165" t="s">
        <v>2279</v>
      </c>
      <c r="I7" s="2166"/>
      <c r="J7" s="2166"/>
      <c r="K7" s="2166"/>
      <c r="L7" s="2166"/>
      <c r="M7" s="2166"/>
      <c r="N7" s="2161" t="s">
        <v>1384</v>
      </c>
      <c r="O7" s="2161"/>
      <c r="P7" s="2161"/>
      <c r="Q7" s="2160" t="s">
        <v>1385</v>
      </c>
      <c r="R7" s="2158"/>
      <c r="S7" s="2159"/>
      <c r="T7" s="2159"/>
      <c r="U7" s="2159"/>
      <c r="V7" s="2159"/>
      <c r="W7" s="2159"/>
      <c r="X7" s="2159"/>
    </row>
    <row r="8" spans="1:24" ht="18" customHeight="1" x14ac:dyDescent="0.15">
      <c r="B8" s="2160" t="s">
        <v>1386</v>
      </c>
      <c r="C8" s="2161" t="s">
        <v>1387</v>
      </c>
      <c r="D8" s="2161"/>
      <c r="E8" s="2161" t="s">
        <v>1388</v>
      </c>
      <c r="F8" s="2160" t="s">
        <v>1389</v>
      </c>
      <c r="G8" s="2160" t="s">
        <v>1390</v>
      </c>
      <c r="H8" s="2167"/>
      <c r="I8" s="2168"/>
      <c r="J8" s="2168"/>
      <c r="K8" s="2168"/>
      <c r="L8" s="2168"/>
      <c r="M8" s="2168"/>
      <c r="N8" s="2161" t="s">
        <v>1391</v>
      </c>
      <c r="O8" s="2160" t="s">
        <v>1392</v>
      </c>
      <c r="P8" s="2161" t="s">
        <v>1393</v>
      </c>
      <c r="Q8" s="2161"/>
      <c r="R8" s="2158"/>
      <c r="S8" s="2159"/>
      <c r="T8" s="2159"/>
      <c r="U8" s="2159"/>
      <c r="V8" s="2159"/>
      <c r="W8" s="2159"/>
      <c r="X8" s="2159"/>
    </row>
    <row r="9" spans="1:24" ht="21" customHeight="1" x14ac:dyDescent="0.15">
      <c r="B9" s="2160"/>
      <c r="C9" s="544" t="s">
        <v>1394</v>
      </c>
      <c r="D9" s="544" t="s">
        <v>1387</v>
      </c>
      <c r="E9" s="2161"/>
      <c r="F9" s="2160"/>
      <c r="G9" s="2161"/>
      <c r="H9" s="2169"/>
      <c r="I9" s="2170"/>
      <c r="J9" s="2170"/>
      <c r="K9" s="2170"/>
      <c r="L9" s="2170"/>
      <c r="M9" s="2170"/>
      <c r="N9" s="2161"/>
      <c r="O9" s="2160"/>
      <c r="P9" s="2161"/>
      <c r="Q9" s="2161"/>
      <c r="R9" s="2158"/>
      <c r="S9" s="2159"/>
      <c r="T9" s="2159"/>
      <c r="U9" s="2159"/>
      <c r="V9" s="2159"/>
      <c r="W9" s="2159"/>
      <c r="X9" s="2159"/>
    </row>
    <row r="10" spans="1:24" x14ac:dyDescent="0.15">
      <c r="A10" s="545"/>
      <c r="B10" s="954"/>
      <c r="C10" s="955"/>
      <c r="D10" s="956"/>
      <c r="E10" s="957"/>
      <c r="F10" s="957"/>
      <c r="G10" s="814">
        <f>SUM(E10+F10)</f>
        <v>0</v>
      </c>
      <c r="H10" s="951"/>
      <c r="I10" s="951"/>
      <c r="J10" s="951"/>
      <c r="K10" s="951"/>
      <c r="L10" s="951"/>
      <c r="M10" s="951"/>
      <c r="N10" s="813" t="str">
        <f>IF(H10="","",(IFERROR(VLOOKUP($H10,【選択肢】!$K$3:$O$86,2,)," ")&amp;IF(I10="","",","&amp;IFERROR(VLOOKUP($I10,【選択肢】!$K$3:$O$86,2,)," ")&amp;IF(J10="","",","&amp;IFERROR(VLOOKUP($J10,【選択肢】!$K$3:$O$86,2,)," ")&amp;IF(K10="","",","&amp;IFERROR(VLOOKUP($K10,【選択肢】!$K$3:$O$86,2,)," ")&amp;IF(L10="","",","&amp;IFERROR(VLOOKUP($L10,【選択肢】!$K$3:$O$86,2,)," ")&amp;IF(M10="","",","&amp;IFERROR(VLOOKUP($M10,【選択肢】!$K$3:$O$86,2,)," "))))))))</f>
        <v/>
      </c>
      <c r="O10" s="721" t="str">
        <f>IF(H10="","",(IFERROR(VLOOKUP($H10,【選択肢】!$K$3:$O$86,4,)," ")&amp;IF(I10="","",","&amp;IFERROR(VLOOKUP($I10,【選択肢】!$K$3:$O$86,4,)," ")&amp;IF(J10="","",","&amp;IFERROR(VLOOKUP($J10,【選択肢】!$K$3:$O$86,4,)," ")&amp;IF(K10="","",","&amp;IFERROR(VLOOKUP($K10,【選択肢】!$K$3:$O$86,4,)," ")&amp;IF(L10="","",","&amp;IFERROR(VLOOKUP($L10,【選択肢】!$K$3:$O$86,4,)," ")&amp;IF(M10="","",","&amp;IFERROR(VLOOKUP($M10,【選択肢】!$K$3:$O$86,4,)," "))))))))</f>
        <v/>
      </c>
      <c r="P10" s="813" t="str">
        <f>IF(H10="","",(IFERROR(VLOOKUP($H10,【選択肢】!$K$3:$O$86,5,)," ")&amp;IF(I10="","",","&amp;IFERROR(VLOOKUP($I10,【選択肢】!$K$3:$O$86,5,)," ")&amp;IF(J10="","",","&amp;IFERROR(VLOOKUP($J10,【選択肢】!$K$3:$O$86,5,)," ")&amp;IF(K10="","",","&amp;IFERROR(VLOOKUP($K10,【選択肢】!$K$3:$O$86,5,)," ")&amp;IF(L10="","",","&amp;IFERROR(VLOOKUP($L10,【選択肢】!$K$3:$O$86,5,)," ")&amp;IF(M10="","",","&amp;IFERROR(VLOOKUP($M10,【選択肢】!$K$3:$O$86,5,)," "))))))))</f>
        <v/>
      </c>
      <c r="Q10" s="948"/>
      <c r="R10" s="554"/>
      <c r="S10" s="545"/>
      <c r="T10" s="545"/>
      <c r="U10" s="545"/>
      <c r="V10" s="545"/>
      <c r="W10" s="545"/>
      <c r="X10" s="545"/>
    </row>
    <row r="11" spans="1:24" x14ac:dyDescent="0.15">
      <c r="B11" s="958"/>
      <c r="C11" s="959"/>
      <c r="D11" s="960"/>
      <c r="E11" s="961"/>
      <c r="F11" s="961"/>
      <c r="G11" s="815">
        <f>SUM(E11+F11)</f>
        <v>0</v>
      </c>
      <c r="H11" s="952"/>
      <c r="I11" s="952"/>
      <c r="J11" s="952"/>
      <c r="K11" s="952"/>
      <c r="L11" s="952"/>
      <c r="M11" s="952"/>
      <c r="N11" s="813" t="str">
        <f>IF(H11="","",(IFERROR(VLOOKUP($H11,【選択肢】!$K$3:$O$86,2,)," ")&amp;IF(I11="","",","&amp;IFERROR(VLOOKUP($I11,【選択肢】!$K$3:$O$86,2,)," ")&amp;IF(J11="","",","&amp;IFERROR(VLOOKUP($J11,【選択肢】!$K$3:$O$86,2,)," ")&amp;IF(K11="","",","&amp;IFERROR(VLOOKUP($K11,【選択肢】!$K$3:$O$86,2,)," ")&amp;IF(L11="","",","&amp;IFERROR(VLOOKUP($L11,【選択肢】!$K$3:$O$86,2,)," ")&amp;IF(M11="","",","&amp;IFERROR(VLOOKUP($M11,【選択肢】!$K$3:$O$86,2,)," "))))))))</f>
        <v/>
      </c>
      <c r="O11" s="721" t="str">
        <f>IF(H11="","",(IFERROR(VLOOKUP($H11,【選択肢】!$K$3:$O$86,4,)," ")&amp;IF(I11="","",","&amp;IFERROR(VLOOKUP($I11,【選択肢】!$K$3:$O$86,4,)," ")&amp;IF(J11="","",","&amp;IFERROR(VLOOKUP($J11,【選択肢】!$K$3:$O$86,4,)," ")&amp;IF(K11="","",","&amp;IFERROR(VLOOKUP($K11,【選択肢】!$K$3:$O$86,4,)," ")&amp;IF(L11="","",","&amp;IFERROR(VLOOKUP($L11,【選択肢】!$K$3:$O$86,4,)," ")&amp;IF(M11="","",","&amp;IFERROR(VLOOKUP($M11,【選択肢】!$K$3:$O$86,4,)," "))))))))</f>
        <v/>
      </c>
      <c r="P11" s="813" t="str">
        <f>IF(H11="","",(IFERROR(VLOOKUP($H11,【選択肢】!$K$3:$O$86,5,)," ")&amp;IF(I11="","",","&amp;IFERROR(VLOOKUP($I11,【選択肢】!$K$3:$O$86,5,)," ")&amp;IF(J11="","",","&amp;IFERROR(VLOOKUP($J11,【選択肢】!$K$3:$O$86,5,)," ")&amp;IF(K11="","",","&amp;IFERROR(VLOOKUP($K11,【選択肢】!$K$3:$O$86,5,)," ")&amp;IF(L11="","",","&amp;IFERROR(VLOOKUP($L11,【選択肢】!$K$3:$O$86,5,)," ")&amp;IF(M11="","",","&amp;IFERROR(VLOOKUP($M11,【選択肢】!$K$3:$O$86,5,)," "))))))))</f>
        <v/>
      </c>
      <c r="Q11" s="949"/>
      <c r="R11" s="554"/>
      <c r="S11" s="545"/>
      <c r="T11" s="545"/>
      <c r="U11" s="545"/>
      <c r="V11" s="545"/>
      <c r="W11" s="545"/>
      <c r="X11" s="545"/>
    </row>
    <row r="12" spans="1:24" x14ac:dyDescent="0.15">
      <c r="B12" s="958"/>
      <c r="C12" s="959"/>
      <c r="D12" s="960"/>
      <c r="E12" s="961"/>
      <c r="F12" s="961"/>
      <c r="G12" s="815">
        <f>SUM(E12+F12)</f>
        <v>0</v>
      </c>
      <c r="H12" s="952"/>
      <c r="I12" s="952"/>
      <c r="J12" s="952"/>
      <c r="K12" s="952"/>
      <c r="L12" s="952"/>
      <c r="M12" s="952"/>
      <c r="N12" s="813" t="str">
        <f>IF(H12="","",(IFERROR(VLOOKUP($H12,【選択肢】!$K$3:$O$86,2,)," ")&amp;IF(I12="","",","&amp;IFERROR(VLOOKUP($I12,【選択肢】!$K$3:$O$86,2,)," ")&amp;IF(J12="","",","&amp;IFERROR(VLOOKUP($J12,【選択肢】!$K$3:$O$86,2,)," ")&amp;IF(K12="","",","&amp;IFERROR(VLOOKUP($K12,【選択肢】!$K$3:$O$86,2,)," ")&amp;IF(L12="","",","&amp;IFERROR(VLOOKUP($L12,【選択肢】!$K$3:$O$86,2,)," ")&amp;IF(M12="","",","&amp;IFERROR(VLOOKUP($M12,【選択肢】!$K$3:$O$86,2,)," "))))))))</f>
        <v/>
      </c>
      <c r="O12" s="721" t="str">
        <f>IF(H12="","",(IFERROR(VLOOKUP($H12,【選択肢】!$K$3:$O$86,4,)," ")&amp;IF(I12="","",","&amp;IFERROR(VLOOKUP($I12,【選択肢】!$K$3:$O$86,4,)," ")&amp;IF(J12="","",","&amp;IFERROR(VLOOKUP($J12,【選択肢】!$K$3:$O$86,4,)," ")&amp;IF(K12="","",","&amp;IFERROR(VLOOKUP($K12,【選択肢】!$K$3:$O$86,4,)," ")&amp;IF(L12="","",","&amp;IFERROR(VLOOKUP($L12,【選択肢】!$K$3:$O$86,4,)," ")&amp;IF(M12="","",","&amp;IFERROR(VLOOKUP($M12,【選択肢】!$K$3:$O$86,4,)," "))))))))</f>
        <v/>
      </c>
      <c r="P12" s="813" t="str">
        <f>IF(H12="","",(IFERROR(VLOOKUP($H12,【選択肢】!$K$3:$O$86,5,)," ")&amp;IF(I12="","",","&amp;IFERROR(VLOOKUP($I12,【選択肢】!$K$3:$O$86,5,)," ")&amp;IF(J12="","",","&amp;IFERROR(VLOOKUP($J12,【選択肢】!$K$3:$O$86,5,)," ")&amp;IF(K12="","",","&amp;IFERROR(VLOOKUP($K12,【選択肢】!$K$3:$O$86,5,)," ")&amp;IF(L12="","",","&amp;IFERROR(VLOOKUP($L12,【選択肢】!$K$3:$O$86,5,)," ")&amp;IF(M12="","",","&amp;IFERROR(VLOOKUP($M12,【選択肢】!$K$3:$O$86,5,)," "))))))))</f>
        <v/>
      </c>
      <c r="Q12" s="949"/>
      <c r="R12" s="554"/>
      <c r="S12" s="545"/>
      <c r="T12" s="545"/>
      <c r="U12" s="545"/>
      <c r="V12" s="545"/>
      <c r="W12" s="545"/>
      <c r="X12" s="545"/>
    </row>
    <row r="13" spans="1:24" x14ac:dyDescent="0.15">
      <c r="B13" s="958"/>
      <c r="C13" s="962"/>
      <c r="D13" s="960"/>
      <c r="E13" s="961"/>
      <c r="F13" s="963"/>
      <c r="G13" s="815">
        <f>SUM(E13+F13)</f>
        <v>0</v>
      </c>
      <c r="H13" s="953"/>
      <c r="I13" s="953"/>
      <c r="J13" s="953"/>
      <c r="K13" s="953"/>
      <c r="L13" s="953"/>
      <c r="M13" s="953"/>
      <c r="N13" s="813" t="str">
        <f>IF(H13="","",(IFERROR(VLOOKUP($H13,【選択肢】!$K$3:$O$86,2,)," ")&amp;IF(I13="","",","&amp;IFERROR(VLOOKUP($I13,【選択肢】!$K$3:$O$86,2,)," ")&amp;IF(J13="","",","&amp;IFERROR(VLOOKUP($J13,【選択肢】!$K$3:$O$86,2,)," ")&amp;IF(K13="","",","&amp;IFERROR(VLOOKUP($K13,【選択肢】!$K$3:$O$86,2,)," ")&amp;IF(L13="","",","&amp;IFERROR(VLOOKUP($L13,【選択肢】!$K$3:$O$86,2,)," ")&amp;IF(M13="","",","&amp;IFERROR(VLOOKUP($M13,【選択肢】!$K$3:$O$86,2,)," "))))))))</f>
        <v/>
      </c>
      <c r="O13" s="721" t="str">
        <f>IF(H13="","",(IFERROR(VLOOKUP($H13,【選択肢】!$K$3:$O$86,4,)," ")&amp;IF(I13="","",","&amp;IFERROR(VLOOKUP($I13,【選択肢】!$K$3:$O$86,4,)," ")&amp;IF(J13="","",","&amp;IFERROR(VLOOKUP($J13,【選択肢】!$K$3:$O$86,4,)," ")&amp;IF(K13="","",","&amp;IFERROR(VLOOKUP($K13,【選択肢】!$K$3:$O$86,4,)," ")&amp;IF(L13="","",","&amp;IFERROR(VLOOKUP($L13,【選択肢】!$K$3:$O$86,4,)," ")&amp;IF(M13="","",","&amp;IFERROR(VLOOKUP($M13,【選択肢】!$K$3:$O$86,4,)," "))))))))</f>
        <v/>
      </c>
      <c r="P13" s="813" t="str">
        <f>IF(H13="","",(IFERROR(VLOOKUP($H13,【選択肢】!$K$3:$O$86,5,)," ")&amp;IF(I13="","",","&amp;IFERROR(VLOOKUP($I13,【選択肢】!$K$3:$O$86,5,)," ")&amp;IF(J13="","",","&amp;IFERROR(VLOOKUP($J13,【選択肢】!$K$3:$O$86,5,)," ")&amp;IF(K13="","",","&amp;IFERROR(VLOOKUP($K13,【選択肢】!$K$3:$O$86,5,)," ")&amp;IF(L13="","",","&amp;IFERROR(VLOOKUP($L13,【選択肢】!$K$3:$O$86,5,)," ")&amp;IF(M13="","",","&amp;IFERROR(VLOOKUP($M13,【選択肢】!$K$3:$O$86,5,)," "))))))))</f>
        <v/>
      </c>
      <c r="Q13" s="950"/>
      <c r="R13" s="554"/>
      <c r="S13" s="545"/>
      <c r="T13" s="545"/>
      <c r="U13" s="545"/>
      <c r="V13" s="545"/>
      <c r="W13" s="545"/>
      <c r="X13" s="545"/>
    </row>
    <row r="14" spans="1:24" x14ac:dyDescent="0.15">
      <c r="B14" s="958"/>
      <c r="C14" s="959"/>
      <c r="D14" s="960"/>
      <c r="E14" s="961"/>
      <c r="F14" s="961"/>
      <c r="G14" s="815">
        <f t="shared" ref="G14:G22" si="0">SUM(E14+F14)</f>
        <v>0</v>
      </c>
      <c r="H14" s="952"/>
      <c r="I14" s="952"/>
      <c r="J14" s="952"/>
      <c r="K14" s="952"/>
      <c r="L14" s="952"/>
      <c r="M14" s="952"/>
      <c r="N14" s="813" t="str">
        <f>IF(H14="","",(IFERROR(VLOOKUP($H14,【選択肢】!$K$3:$O$86,2,)," ")&amp;IF(I14="","",","&amp;IFERROR(VLOOKUP($I14,【選択肢】!$K$3:$O$86,2,)," ")&amp;IF(J14="","",","&amp;IFERROR(VLOOKUP($J14,【選択肢】!$K$3:$O$86,2,)," ")&amp;IF(K14="","",","&amp;IFERROR(VLOOKUP($K14,【選択肢】!$K$3:$O$86,2,)," ")&amp;IF(L14="","",","&amp;IFERROR(VLOOKUP($L14,【選択肢】!$K$3:$O$86,2,)," ")&amp;IF(M14="","",","&amp;IFERROR(VLOOKUP($M14,【選択肢】!$K$3:$O$86,2,)," "))))))))</f>
        <v/>
      </c>
      <c r="O14" s="721" t="str">
        <f>IF(H14="","",(IFERROR(VLOOKUP($H14,【選択肢】!$K$3:$O$86,4,)," ")&amp;IF(I14="","",","&amp;IFERROR(VLOOKUP($I14,【選択肢】!$K$3:$O$86,4,)," ")&amp;IF(J14="","",","&amp;IFERROR(VLOOKUP($J14,【選択肢】!$K$3:$O$86,4,)," ")&amp;IF(K14="","",","&amp;IFERROR(VLOOKUP($K14,【選択肢】!$K$3:$O$86,4,)," ")&amp;IF(L14="","",","&amp;IFERROR(VLOOKUP($L14,【選択肢】!$K$3:$O$86,4,)," ")&amp;IF(M14="","",","&amp;IFERROR(VLOOKUP($M14,【選択肢】!$K$3:$O$86,4,)," "))))))))</f>
        <v/>
      </c>
      <c r="P14" s="813" t="str">
        <f>IF(H14="","",(IFERROR(VLOOKUP($H14,【選択肢】!$K$3:$O$86,5,)," ")&amp;IF(I14="","",","&amp;IFERROR(VLOOKUP($I14,【選択肢】!$K$3:$O$86,5,)," ")&amp;IF(J14="","",","&amp;IFERROR(VLOOKUP($J14,【選択肢】!$K$3:$O$86,5,)," ")&amp;IF(K14="","",","&amp;IFERROR(VLOOKUP($K14,【選択肢】!$K$3:$O$86,5,)," ")&amp;IF(L14="","",","&amp;IFERROR(VLOOKUP($L14,【選択肢】!$K$3:$O$86,5,)," ")&amp;IF(M14="","",","&amp;IFERROR(VLOOKUP($M14,【選択肢】!$K$3:$O$86,5,)," "))))))))</f>
        <v/>
      </c>
      <c r="Q14" s="949"/>
      <c r="R14" s="554"/>
      <c r="S14" s="545"/>
      <c r="T14" s="545"/>
      <c r="U14" s="545"/>
      <c r="V14" s="545"/>
      <c r="W14" s="545"/>
      <c r="X14" s="545"/>
    </row>
    <row r="15" spans="1:24" x14ac:dyDescent="0.15">
      <c r="B15" s="958"/>
      <c r="C15" s="959"/>
      <c r="D15" s="960"/>
      <c r="E15" s="961"/>
      <c r="F15" s="961"/>
      <c r="G15" s="815">
        <f t="shared" si="0"/>
        <v>0</v>
      </c>
      <c r="H15" s="952"/>
      <c r="I15" s="952"/>
      <c r="J15" s="952"/>
      <c r="K15" s="952"/>
      <c r="L15" s="952"/>
      <c r="M15" s="952"/>
      <c r="N15" s="813" t="str">
        <f>IF(H15="","",(IFERROR(VLOOKUP($H15,【選択肢】!$K$3:$O$86,2,)," ")&amp;IF(I15="","",","&amp;IFERROR(VLOOKUP($I15,【選択肢】!$K$3:$O$86,2,)," ")&amp;IF(J15="","",","&amp;IFERROR(VLOOKUP($J15,【選択肢】!$K$3:$O$86,2,)," ")&amp;IF(K15="","",","&amp;IFERROR(VLOOKUP($K15,【選択肢】!$K$3:$O$86,2,)," ")&amp;IF(L15="","",","&amp;IFERROR(VLOOKUP($L15,【選択肢】!$K$3:$O$86,2,)," ")&amp;IF(M15="","",","&amp;IFERROR(VLOOKUP($M15,【選択肢】!$K$3:$O$86,2,)," "))))))))</f>
        <v/>
      </c>
      <c r="O15" s="721" t="str">
        <f>IF(H15="","",(IFERROR(VLOOKUP($H15,【選択肢】!$K$3:$O$86,4,)," ")&amp;IF(I15="","",","&amp;IFERROR(VLOOKUP($I15,【選択肢】!$K$3:$O$86,4,)," ")&amp;IF(J15="","",","&amp;IFERROR(VLOOKUP($J15,【選択肢】!$K$3:$O$86,4,)," ")&amp;IF(K15="","",","&amp;IFERROR(VLOOKUP($K15,【選択肢】!$K$3:$O$86,4,)," ")&amp;IF(L15="","",","&amp;IFERROR(VLOOKUP($L15,【選択肢】!$K$3:$O$86,4,)," ")&amp;IF(M15="","",","&amp;IFERROR(VLOOKUP($M15,【選択肢】!$K$3:$O$86,4,)," "))))))))</f>
        <v/>
      </c>
      <c r="P15" s="813" t="str">
        <f>IF(H15="","",(IFERROR(VLOOKUP($H15,【選択肢】!$K$3:$O$86,5,)," ")&amp;IF(I15="","",","&amp;IFERROR(VLOOKUP($I15,【選択肢】!$K$3:$O$86,5,)," ")&amp;IF(J15="","",","&amp;IFERROR(VLOOKUP($J15,【選択肢】!$K$3:$O$86,5,)," ")&amp;IF(K15="","",","&amp;IFERROR(VLOOKUP($K15,【選択肢】!$K$3:$O$86,5,)," ")&amp;IF(L15="","",","&amp;IFERROR(VLOOKUP($L15,【選択肢】!$K$3:$O$86,5,)," ")&amp;IF(M15="","",","&amp;IFERROR(VLOOKUP($M15,【選択肢】!$K$3:$O$86,5,)," "))))))))</f>
        <v/>
      </c>
      <c r="Q15" s="949"/>
      <c r="R15" s="554"/>
      <c r="S15" s="545"/>
      <c r="T15" s="545"/>
      <c r="U15" s="545"/>
      <c r="V15" s="545"/>
      <c r="W15" s="545"/>
      <c r="X15" s="545"/>
    </row>
    <row r="16" spans="1:24" x14ac:dyDescent="0.15">
      <c r="B16" s="958"/>
      <c r="C16" s="959"/>
      <c r="D16" s="960"/>
      <c r="E16" s="961"/>
      <c r="F16" s="961"/>
      <c r="G16" s="815">
        <f t="shared" si="0"/>
        <v>0</v>
      </c>
      <c r="H16" s="952"/>
      <c r="I16" s="952"/>
      <c r="J16" s="952"/>
      <c r="K16" s="952"/>
      <c r="L16" s="952"/>
      <c r="M16" s="952"/>
      <c r="N16" s="813" t="str">
        <f>IF(H16="","",(IFERROR(VLOOKUP($H16,【選択肢】!$K$3:$O$86,2,)," ")&amp;IF(I16="","",","&amp;IFERROR(VLOOKUP($I16,【選択肢】!$K$3:$O$86,2,)," ")&amp;IF(J16="","",","&amp;IFERROR(VLOOKUP($J16,【選択肢】!$K$3:$O$86,2,)," ")&amp;IF(K16="","",","&amp;IFERROR(VLOOKUP($K16,【選択肢】!$K$3:$O$86,2,)," ")&amp;IF(L16="","",","&amp;IFERROR(VLOOKUP($L16,【選択肢】!$K$3:$O$86,2,)," ")&amp;IF(M16="","",","&amp;IFERROR(VLOOKUP($M16,【選択肢】!$K$3:$O$86,2,)," "))))))))</f>
        <v/>
      </c>
      <c r="O16" s="721" t="str">
        <f>IF(H16="","",(IFERROR(VLOOKUP($H16,【選択肢】!$K$3:$O$86,4,)," ")&amp;IF(I16="","",","&amp;IFERROR(VLOOKUP($I16,【選択肢】!$K$3:$O$86,4,)," ")&amp;IF(J16="","",","&amp;IFERROR(VLOOKUP($J16,【選択肢】!$K$3:$O$86,4,)," ")&amp;IF(K16="","",","&amp;IFERROR(VLOOKUP($K16,【選択肢】!$K$3:$O$86,4,)," ")&amp;IF(L16="","",","&amp;IFERROR(VLOOKUP($L16,【選択肢】!$K$3:$O$86,4,)," ")&amp;IF(M16="","",","&amp;IFERROR(VLOOKUP($M16,【選択肢】!$K$3:$O$86,4,)," "))))))))</f>
        <v/>
      </c>
      <c r="P16" s="813" t="str">
        <f>IF(H16="","",(IFERROR(VLOOKUP($H16,【選択肢】!$K$3:$O$86,5,)," ")&amp;IF(I16="","",","&amp;IFERROR(VLOOKUP($I16,【選択肢】!$K$3:$O$86,5,)," ")&amp;IF(J16="","",","&amp;IFERROR(VLOOKUP($J16,【選択肢】!$K$3:$O$86,5,)," ")&amp;IF(K16="","",","&amp;IFERROR(VLOOKUP($K16,【選択肢】!$K$3:$O$86,5,)," ")&amp;IF(L16="","",","&amp;IFERROR(VLOOKUP($L16,【選択肢】!$K$3:$O$86,5,)," ")&amp;IF(M16="","",","&amp;IFERROR(VLOOKUP($M16,【選択肢】!$K$3:$O$86,5,)," "))))))))</f>
        <v/>
      </c>
      <c r="Q16" s="949"/>
      <c r="R16" s="554"/>
      <c r="S16" s="545"/>
      <c r="T16" s="545"/>
      <c r="U16" s="545"/>
      <c r="V16" s="545"/>
      <c r="W16" s="545"/>
      <c r="X16" s="545"/>
    </row>
    <row r="17" spans="2:24" x14ac:dyDescent="0.15">
      <c r="B17" s="958"/>
      <c r="C17" s="959"/>
      <c r="D17" s="960"/>
      <c r="E17" s="961"/>
      <c r="F17" s="961"/>
      <c r="G17" s="815">
        <f t="shared" si="0"/>
        <v>0</v>
      </c>
      <c r="H17" s="952"/>
      <c r="I17" s="952"/>
      <c r="J17" s="952"/>
      <c r="K17" s="952"/>
      <c r="L17" s="952"/>
      <c r="M17" s="952"/>
      <c r="N17" s="813" t="str">
        <f>IF(H17="","",(IFERROR(VLOOKUP($H17,【選択肢】!$K$3:$O$86,2,)," ")&amp;IF(I17="","",","&amp;IFERROR(VLOOKUP($I17,【選択肢】!$K$3:$O$86,2,)," ")&amp;IF(J17="","",","&amp;IFERROR(VLOOKUP($J17,【選択肢】!$K$3:$O$86,2,)," ")&amp;IF(K17="","",","&amp;IFERROR(VLOOKUP($K17,【選択肢】!$K$3:$O$86,2,)," ")&amp;IF(L17="","",","&amp;IFERROR(VLOOKUP($L17,【選択肢】!$K$3:$O$86,2,)," ")&amp;IF(M17="","",","&amp;IFERROR(VLOOKUP($M17,【選択肢】!$K$3:$O$86,2,)," "))))))))</f>
        <v/>
      </c>
      <c r="O17" s="721" t="str">
        <f>IF(H17="","",(IFERROR(VLOOKUP($H17,【選択肢】!$K$3:$O$86,4,)," ")&amp;IF(I17="","",","&amp;IFERROR(VLOOKUP($I17,【選択肢】!$K$3:$O$86,4,)," ")&amp;IF(J17="","",","&amp;IFERROR(VLOOKUP($J17,【選択肢】!$K$3:$O$86,4,)," ")&amp;IF(K17="","",","&amp;IFERROR(VLOOKUP($K17,【選択肢】!$K$3:$O$86,4,)," ")&amp;IF(L17="","",","&amp;IFERROR(VLOOKUP($L17,【選択肢】!$K$3:$O$86,4,)," ")&amp;IF(M17="","",","&amp;IFERROR(VLOOKUP($M17,【選択肢】!$K$3:$O$86,4,)," "))))))))</f>
        <v/>
      </c>
      <c r="P17" s="813" t="str">
        <f>IF(H17="","",(IFERROR(VLOOKUP($H17,【選択肢】!$K$3:$O$86,5,)," ")&amp;IF(I17="","",","&amp;IFERROR(VLOOKUP($I17,【選択肢】!$K$3:$O$86,5,)," ")&amp;IF(J17="","",","&amp;IFERROR(VLOOKUP($J17,【選択肢】!$K$3:$O$86,5,)," ")&amp;IF(K17="","",","&amp;IFERROR(VLOOKUP($K17,【選択肢】!$K$3:$O$86,5,)," ")&amp;IF(L17="","",","&amp;IFERROR(VLOOKUP($L17,【選択肢】!$K$3:$O$86,5,)," ")&amp;IF(M17="","",","&amp;IFERROR(VLOOKUP($M17,【選択肢】!$K$3:$O$86,5,)," "))))))))</f>
        <v/>
      </c>
      <c r="Q17" s="949"/>
      <c r="R17" s="554"/>
      <c r="S17" s="545"/>
      <c r="T17" s="545"/>
      <c r="U17" s="545"/>
      <c r="V17" s="545"/>
      <c r="W17" s="545"/>
      <c r="X17" s="545"/>
    </row>
    <row r="18" spans="2:24" x14ac:dyDescent="0.15">
      <c r="B18" s="958"/>
      <c r="C18" s="959"/>
      <c r="D18" s="960"/>
      <c r="E18" s="961"/>
      <c r="F18" s="961"/>
      <c r="G18" s="815">
        <f>SUM(E18+F18)</f>
        <v>0</v>
      </c>
      <c r="H18" s="952"/>
      <c r="I18" s="952"/>
      <c r="J18" s="952"/>
      <c r="K18" s="952"/>
      <c r="L18" s="952"/>
      <c r="M18" s="952"/>
      <c r="N18" s="813" t="str">
        <f>IF(H18="","",(IFERROR(VLOOKUP($H18,【選択肢】!$K$3:$O$86,2,)," ")&amp;IF(I18="","",","&amp;IFERROR(VLOOKUP($I18,【選択肢】!$K$3:$O$86,2,)," ")&amp;IF(J18="","",","&amp;IFERROR(VLOOKUP($J18,【選択肢】!$K$3:$O$86,2,)," ")&amp;IF(K18="","",","&amp;IFERROR(VLOOKUP($K18,【選択肢】!$K$3:$O$86,2,)," ")&amp;IF(L18="","",","&amp;IFERROR(VLOOKUP($L18,【選択肢】!$K$3:$O$86,2,)," ")&amp;IF(M18="","",","&amp;IFERROR(VLOOKUP($M18,【選択肢】!$K$3:$O$86,2,)," "))))))))</f>
        <v/>
      </c>
      <c r="O18" s="721" t="str">
        <f>IF(H18="","",(IFERROR(VLOOKUP($H18,【選択肢】!$K$3:$O$86,4,)," ")&amp;IF(I18="","",","&amp;IFERROR(VLOOKUP($I18,【選択肢】!$K$3:$O$86,4,)," ")&amp;IF(J18="","",","&amp;IFERROR(VLOOKUP($J18,【選択肢】!$K$3:$O$86,4,)," ")&amp;IF(K18="","",","&amp;IFERROR(VLOOKUP($K18,【選択肢】!$K$3:$O$86,4,)," ")&amp;IF(L18="","",","&amp;IFERROR(VLOOKUP($L18,【選択肢】!$K$3:$O$86,4,)," ")&amp;IF(M18="","",","&amp;IFERROR(VLOOKUP($M18,【選択肢】!$K$3:$O$86,4,)," "))))))))</f>
        <v/>
      </c>
      <c r="P18" s="813" t="str">
        <f>IF(H18="","",(IFERROR(VLOOKUP($H18,【選択肢】!$K$3:$O$86,5,)," ")&amp;IF(I18="","",","&amp;IFERROR(VLOOKUP($I18,【選択肢】!$K$3:$O$86,5,)," ")&amp;IF(J18="","",","&amp;IFERROR(VLOOKUP($J18,【選択肢】!$K$3:$O$86,5,)," ")&amp;IF(K18="","",","&amp;IFERROR(VLOOKUP($K18,【選択肢】!$K$3:$O$86,5,)," ")&amp;IF(L18="","",","&amp;IFERROR(VLOOKUP($L18,【選択肢】!$K$3:$O$86,5,)," ")&amp;IF(M18="","",","&amp;IFERROR(VLOOKUP($M18,【選択肢】!$K$3:$O$86,5,)," "))))))))</f>
        <v/>
      </c>
      <c r="Q18" s="949"/>
      <c r="R18" s="554"/>
      <c r="S18" s="545"/>
      <c r="T18" s="545"/>
      <c r="U18" s="545"/>
      <c r="V18" s="545"/>
      <c r="W18" s="545"/>
      <c r="X18" s="545"/>
    </row>
    <row r="19" spans="2:24" x14ac:dyDescent="0.15">
      <c r="B19" s="958"/>
      <c r="C19" s="959"/>
      <c r="D19" s="960"/>
      <c r="E19" s="961"/>
      <c r="F19" s="961"/>
      <c r="G19" s="815">
        <f t="shared" si="0"/>
        <v>0</v>
      </c>
      <c r="H19" s="952"/>
      <c r="I19" s="952"/>
      <c r="J19" s="952"/>
      <c r="K19" s="952"/>
      <c r="L19" s="952"/>
      <c r="M19" s="952"/>
      <c r="N19" s="813" t="str">
        <f>IF(H19="","",(IFERROR(VLOOKUP($H19,【選択肢】!$K$3:$O$86,2,)," ")&amp;IF(I19="","",","&amp;IFERROR(VLOOKUP($I19,【選択肢】!$K$3:$O$86,2,)," ")&amp;IF(J19="","",","&amp;IFERROR(VLOOKUP($J19,【選択肢】!$K$3:$O$86,2,)," ")&amp;IF(K19="","",","&amp;IFERROR(VLOOKUP($K19,【選択肢】!$K$3:$O$86,2,)," ")&amp;IF(L19="","",","&amp;IFERROR(VLOOKUP($L19,【選択肢】!$K$3:$O$86,2,)," ")&amp;IF(M19="","",","&amp;IFERROR(VLOOKUP($M19,【選択肢】!$K$3:$O$86,2,)," "))))))))</f>
        <v/>
      </c>
      <c r="O19" s="721" t="str">
        <f>IF(H19="","",(IFERROR(VLOOKUP($H19,【選択肢】!$K$3:$O$86,4,)," ")&amp;IF(I19="","",","&amp;IFERROR(VLOOKUP($I19,【選択肢】!$K$3:$O$86,4,)," ")&amp;IF(J19="","",","&amp;IFERROR(VLOOKUP($J19,【選択肢】!$K$3:$O$86,4,)," ")&amp;IF(K19="","",","&amp;IFERROR(VLOOKUP($K19,【選択肢】!$K$3:$O$86,4,)," ")&amp;IF(L19="","",","&amp;IFERROR(VLOOKUP($L19,【選択肢】!$K$3:$O$86,4,)," ")&amp;IF(M19="","",","&amp;IFERROR(VLOOKUP($M19,【選択肢】!$K$3:$O$86,4,)," "))))))))</f>
        <v/>
      </c>
      <c r="P19" s="813" t="str">
        <f>IF(H19="","",(IFERROR(VLOOKUP($H19,【選択肢】!$K$3:$O$86,5,)," ")&amp;IF(I19="","",","&amp;IFERROR(VLOOKUP($I19,【選択肢】!$K$3:$O$86,5,)," ")&amp;IF(J19="","",","&amp;IFERROR(VLOOKUP($J19,【選択肢】!$K$3:$O$86,5,)," ")&amp;IF(K19="","",","&amp;IFERROR(VLOOKUP($K19,【選択肢】!$K$3:$O$86,5,)," ")&amp;IF(L19="","",","&amp;IFERROR(VLOOKUP($L19,【選択肢】!$K$3:$O$86,5,)," ")&amp;IF(M19="","",","&amp;IFERROR(VLOOKUP($M19,【選択肢】!$K$3:$O$86,5,)," "))))))))</f>
        <v/>
      </c>
      <c r="Q19" s="949"/>
      <c r="R19" s="554"/>
      <c r="S19" s="545"/>
      <c r="T19" s="545"/>
      <c r="U19" s="545"/>
      <c r="V19" s="545"/>
      <c r="W19" s="545"/>
      <c r="X19" s="545"/>
    </row>
    <row r="20" spans="2:24" x14ac:dyDescent="0.15">
      <c r="B20" s="958"/>
      <c r="C20" s="959"/>
      <c r="D20" s="960"/>
      <c r="E20" s="961"/>
      <c r="F20" s="961"/>
      <c r="G20" s="815">
        <f t="shared" si="0"/>
        <v>0</v>
      </c>
      <c r="H20" s="952"/>
      <c r="I20" s="952"/>
      <c r="J20" s="952"/>
      <c r="K20" s="952"/>
      <c r="L20" s="952"/>
      <c r="M20" s="952"/>
      <c r="N20" s="813" t="str">
        <f>IF(H20="","",(IFERROR(VLOOKUP($H20,【選択肢】!$K$3:$O$86,2,)," ")&amp;IF(I20="","",","&amp;IFERROR(VLOOKUP($I20,【選択肢】!$K$3:$O$86,2,)," ")&amp;IF(J20="","",","&amp;IFERROR(VLOOKUP($J20,【選択肢】!$K$3:$O$86,2,)," ")&amp;IF(K20="","",","&amp;IFERROR(VLOOKUP($K20,【選択肢】!$K$3:$O$86,2,)," ")&amp;IF(L20="","",","&amp;IFERROR(VLOOKUP($L20,【選択肢】!$K$3:$O$86,2,)," ")&amp;IF(M20="","",","&amp;IFERROR(VLOOKUP($M20,【選択肢】!$K$3:$O$86,2,)," "))))))))</f>
        <v/>
      </c>
      <c r="O20" s="721" t="str">
        <f>IF(H20="","",(IFERROR(VLOOKUP($H20,【選択肢】!$K$3:$O$86,4,)," ")&amp;IF(I20="","",","&amp;IFERROR(VLOOKUP($I20,【選択肢】!$K$3:$O$86,4,)," ")&amp;IF(J20="","",","&amp;IFERROR(VLOOKUP($J20,【選択肢】!$K$3:$O$86,4,)," ")&amp;IF(K20="","",","&amp;IFERROR(VLOOKUP($K20,【選択肢】!$K$3:$O$86,4,)," ")&amp;IF(L20="","",","&amp;IFERROR(VLOOKUP($L20,【選択肢】!$K$3:$O$86,4,)," ")&amp;IF(M20="","",","&amp;IFERROR(VLOOKUP($M20,【選択肢】!$K$3:$O$86,4,)," "))))))))</f>
        <v/>
      </c>
      <c r="P20" s="813" t="str">
        <f>IF(H20="","",(IFERROR(VLOOKUP($H20,【選択肢】!$K$3:$O$86,5,)," ")&amp;IF(I20="","",","&amp;IFERROR(VLOOKUP($I20,【選択肢】!$K$3:$O$86,5,)," ")&amp;IF(J20="","",","&amp;IFERROR(VLOOKUP($J20,【選択肢】!$K$3:$O$86,5,)," ")&amp;IF(K20="","",","&amp;IFERROR(VLOOKUP($K20,【選択肢】!$K$3:$O$86,5,)," ")&amp;IF(L20="","",","&amp;IFERROR(VLOOKUP($L20,【選択肢】!$K$3:$O$86,5,)," ")&amp;IF(M20="","",","&amp;IFERROR(VLOOKUP($M20,【選択肢】!$K$3:$O$86,5,)," "))))))))</f>
        <v/>
      </c>
      <c r="Q20" s="949"/>
      <c r="R20" s="554"/>
      <c r="S20" s="545"/>
      <c r="T20" s="545"/>
      <c r="U20" s="545"/>
      <c r="V20" s="545"/>
      <c r="W20" s="545"/>
      <c r="X20" s="545"/>
    </row>
    <row r="21" spans="2:24" x14ac:dyDescent="0.15">
      <c r="B21" s="958"/>
      <c r="C21" s="959"/>
      <c r="D21" s="960"/>
      <c r="E21" s="961"/>
      <c r="F21" s="961"/>
      <c r="G21" s="815">
        <f t="shared" si="0"/>
        <v>0</v>
      </c>
      <c r="H21" s="952"/>
      <c r="I21" s="952"/>
      <c r="J21" s="952"/>
      <c r="K21" s="952"/>
      <c r="L21" s="952"/>
      <c r="M21" s="952"/>
      <c r="N21" s="813" t="str">
        <f>IF(H21="","",(IFERROR(VLOOKUP($H21,【選択肢】!$K$3:$O$86,2,)," ")&amp;IF(I21="","",","&amp;IFERROR(VLOOKUP($I21,【選択肢】!$K$3:$O$86,2,)," ")&amp;IF(J21="","",","&amp;IFERROR(VLOOKUP($J21,【選択肢】!$K$3:$O$86,2,)," ")&amp;IF(K21="","",","&amp;IFERROR(VLOOKUP($K21,【選択肢】!$K$3:$O$86,2,)," ")&amp;IF(L21="","",","&amp;IFERROR(VLOOKUP($L21,【選択肢】!$K$3:$O$86,2,)," ")&amp;IF(M21="","",","&amp;IFERROR(VLOOKUP($M21,【選択肢】!$K$3:$O$86,2,)," "))))))))</f>
        <v/>
      </c>
      <c r="O21" s="721" t="str">
        <f>IF(H21="","",(IFERROR(VLOOKUP($H21,【選択肢】!$K$3:$O$86,4,)," ")&amp;IF(I21="","",","&amp;IFERROR(VLOOKUP($I21,【選択肢】!$K$3:$O$86,4,)," ")&amp;IF(J21="","",","&amp;IFERROR(VLOOKUP($J21,【選択肢】!$K$3:$O$86,4,)," ")&amp;IF(K21="","",","&amp;IFERROR(VLOOKUP($K21,【選択肢】!$K$3:$O$86,4,)," ")&amp;IF(L21="","",","&amp;IFERROR(VLOOKUP($L21,【選択肢】!$K$3:$O$86,4,)," ")&amp;IF(M21="","",","&amp;IFERROR(VLOOKUP($M21,【選択肢】!$K$3:$O$86,4,)," "))))))))</f>
        <v/>
      </c>
      <c r="P21" s="813" t="str">
        <f>IF(H21="","",(IFERROR(VLOOKUP($H21,【選択肢】!$K$3:$O$86,5,)," ")&amp;IF(I21="","",","&amp;IFERROR(VLOOKUP($I21,【選択肢】!$K$3:$O$86,5,)," ")&amp;IF(J21="","",","&amp;IFERROR(VLOOKUP($J21,【選択肢】!$K$3:$O$86,5,)," ")&amp;IF(K21="","",","&amp;IFERROR(VLOOKUP($K21,【選択肢】!$K$3:$O$86,5,)," ")&amp;IF(L21="","",","&amp;IFERROR(VLOOKUP($L21,【選択肢】!$K$3:$O$86,5,)," ")&amp;IF(M21="","",","&amp;IFERROR(VLOOKUP($M21,【選択肢】!$K$3:$O$86,5,)," "))))))))</f>
        <v/>
      </c>
      <c r="Q21" s="949"/>
      <c r="R21" s="554"/>
      <c r="S21" s="545"/>
      <c r="T21" s="545"/>
      <c r="U21" s="545"/>
      <c r="V21" s="545"/>
      <c r="W21" s="545"/>
      <c r="X21" s="545"/>
    </row>
    <row r="22" spans="2:24" x14ac:dyDescent="0.15">
      <c r="B22" s="958"/>
      <c r="C22" s="959"/>
      <c r="D22" s="960"/>
      <c r="E22" s="961"/>
      <c r="F22" s="961"/>
      <c r="G22" s="815">
        <f t="shared" si="0"/>
        <v>0</v>
      </c>
      <c r="H22" s="952"/>
      <c r="I22" s="952"/>
      <c r="J22" s="952"/>
      <c r="K22" s="952"/>
      <c r="L22" s="952"/>
      <c r="M22" s="952"/>
      <c r="N22" s="813" t="str">
        <f>IF(H22="","",(IFERROR(VLOOKUP($H22,【選択肢】!$K$3:$O$86,2,)," ")&amp;IF(I22="","",","&amp;IFERROR(VLOOKUP($I22,【選択肢】!$K$3:$O$86,2,)," ")&amp;IF(J22="","",","&amp;IFERROR(VLOOKUP($J22,【選択肢】!$K$3:$O$86,2,)," ")&amp;IF(K22="","",","&amp;IFERROR(VLOOKUP($K22,【選択肢】!$K$3:$O$86,2,)," ")&amp;IF(L22="","",","&amp;IFERROR(VLOOKUP($L22,【選択肢】!$K$3:$O$86,2,)," ")&amp;IF(M22="","",","&amp;IFERROR(VLOOKUP($M22,【選択肢】!$K$3:$O$86,2,)," "))))))))</f>
        <v/>
      </c>
      <c r="O22" s="721" t="str">
        <f>IF(H22="","",(IFERROR(VLOOKUP($H22,【選択肢】!$K$3:$O$86,4,)," ")&amp;IF(I22="","",","&amp;IFERROR(VLOOKUP($I22,【選択肢】!$K$3:$O$86,4,)," ")&amp;IF(J22="","",","&amp;IFERROR(VLOOKUP($J22,【選択肢】!$K$3:$O$86,4,)," ")&amp;IF(K22="","",","&amp;IFERROR(VLOOKUP($K22,【選択肢】!$K$3:$O$86,4,)," ")&amp;IF(L22="","",","&amp;IFERROR(VLOOKUP($L22,【選択肢】!$K$3:$O$86,4,)," ")&amp;IF(M22="","",","&amp;IFERROR(VLOOKUP($M22,【選択肢】!$K$3:$O$86,4,)," "))))))))</f>
        <v/>
      </c>
      <c r="P22" s="813" t="str">
        <f>IF(H22="","",(IFERROR(VLOOKUP($H22,【選択肢】!$K$3:$O$86,5,)," ")&amp;IF(I22="","",","&amp;IFERROR(VLOOKUP($I22,【選択肢】!$K$3:$O$86,5,)," ")&amp;IF(J22="","",","&amp;IFERROR(VLOOKUP($J22,【選択肢】!$K$3:$O$86,5,)," ")&amp;IF(K22="","",","&amp;IFERROR(VLOOKUP($K22,【選択肢】!$K$3:$O$86,5,)," ")&amp;IF(L22="","",","&amp;IFERROR(VLOOKUP($L22,【選択肢】!$K$3:$O$86,5,)," ")&amp;IF(M22="","",","&amp;IFERROR(VLOOKUP($M22,【選択肢】!$K$3:$O$86,5,)," "))))))))</f>
        <v/>
      </c>
      <c r="Q22" s="949"/>
      <c r="R22" s="554"/>
      <c r="S22" s="545"/>
      <c r="T22" s="545"/>
      <c r="U22" s="545"/>
      <c r="V22" s="545"/>
      <c r="W22" s="545"/>
      <c r="X22" s="545"/>
    </row>
    <row r="23" spans="2:24" x14ac:dyDescent="0.15">
      <c r="B23" s="958"/>
      <c r="C23" s="959"/>
      <c r="D23" s="960"/>
      <c r="E23" s="961"/>
      <c r="F23" s="961"/>
      <c r="G23" s="815">
        <f>SUM(E23+F23)</f>
        <v>0</v>
      </c>
      <c r="H23" s="952"/>
      <c r="I23" s="952"/>
      <c r="J23" s="952"/>
      <c r="K23" s="952"/>
      <c r="L23" s="952"/>
      <c r="M23" s="952"/>
      <c r="N23" s="813" t="str">
        <f>IF(H23="","",(IFERROR(VLOOKUP($H23,【選択肢】!$K$3:$O$86,2,)," ")&amp;IF(I23="","",","&amp;IFERROR(VLOOKUP($I23,【選択肢】!$K$3:$O$86,2,)," ")&amp;IF(J23="","",","&amp;IFERROR(VLOOKUP($J23,【選択肢】!$K$3:$O$86,2,)," ")&amp;IF(K23="","",","&amp;IFERROR(VLOOKUP($K23,【選択肢】!$K$3:$O$86,2,)," ")&amp;IF(L23="","",","&amp;IFERROR(VLOOKUP($L23,【選択肢】!$K$3:$O$86,2,)," ")&amp;IF(M23="","",","&amp;IFERROR(VLOOKUP($M23,【選択肢】!$K$3:$O$86,2,)," "))))))))</f>
        <v/>
      </c>
      <c r="O23" s="721" t="str">
        <f>IF(H23="","",(IFERROR(VLOOKUP($H23,【選択肢】!$K$3:$O$86,4,)," ")&amp;IF(I23="","",","&amp;IFERROR(VLOOKUP($I23,【選択肢】!$K$3:$O$86,4,)," ")&amp;IF(J23="","",","&amp;IFERROR(VLOOKUP($J23,【選択肢】!$K$3:$O$86,4,)," ")&amp;IF(K23="","",","&amp;IFERROR(VLOOKUP($K23,【選択肢】!$K$3:$O$86,4,)," ")&amp;IF(L23="","",","&amp;IFERROR(VLOOKUP($L23,【選択肢】!$K$3:$O$86,4,)," ")&amp;IF(M23="","",","&amp;IFERROR(VLOOKUP($M23,【選択肢】!$K$3:$O$86,4,)," "))))))))</f>
        <v/>
      </c>
      <c r="P23" s="813" t="str">
        <f>IF(H23="","",(IFERROR(VLOOKUP($H23,【選択肢】!$K$3:$O$86,5,)," ")&amp;IF(I23="","",","&amp;IFERROR(VLOOKUP($I23,【選択肢】!$K$3:$O$86,5,)," ")&amp;IF(J23="","",","&amp;IFERROR(VLOOKUP($J23,【選択肢】!$K$3:$O$86,5,)," ")&amp;IF(K23="","",","&amp;IFERROR(VLOOKUP($K23,【選択肢】!$K$3:$O$86,5,)," ")&amp;IF(L23="","",","&amp;IFERROR(VLOOKUP($L23,【選択肢】!$K$3:$O$86,5,)," ")&amp;IF(M23="","",","&amp;IFERROR(VLOOKUP($M23,【選択肢】!$K$3:$O$86,5,)," "))))))))</f>
        <v/>
      </c>
      <c r="Q23" s="949"/>
      <c r="R23" s="554"/>
      <c r="S23" s="545"/>
      <c r="T23" s="545"/>
      <c r="U23" s="545"/>
      <c r="V23" s="545"/>
      <c r="W23" s="545"/>
      <c r="X23" s="545"/>
    </row>
    <row r="24" spans="2:24" x14ac:dyDescent="0.15">
      <c r="B24" s="964"/>
      <c r="C24" s="962"/>
      <c r="D24" s="960"/>
      <c r="E24" s="961"/>
      <c r="F24" s="963"/>
      <c r="G24" s="815">
        <f>SUM(E24+F24)</f>
        <v>0</v>
      </c>
      <c r="H24" s="953"/>
      <c r="I24" s="953"/>
      <c r="J24" s="953"/>
      <c r="K24" s="953"/>
      <c r="L24" s="953"/>
      <c r="M24" s="953"/>
      <c r="N24" s="813" t="str">
        <f>IF(H24="","",(IFERROR(VLOOKUP($H24,【選択肢】!$K$3:$O$86,2,)," ")&amp;IF(I24="","",","&amp;IFERROR(VLOOKUP($I24,【選択肢】!$K$3:$O$86,2,)," ")&amp;IF(J24="","",","&amp;IFERROR(VLOOKUP($J24,【選択肢】!$K$3:$O$86,2,)," ")&amp;IF(K24="","",","&amp;IFERROR(VLOOKUP($K24,【選択肢】!$K$3:$O$86,2,)," ")&amp;IF(L24="","",","&amp;IFERROR(VLOOKUP($L24,【選択肢】!$K$3:$O$86,2,)," ")&amp;IF(M24="","",","&amp;IFERROR(VLOOKUP($M24,【選択肢】!$K$3:$O$86,2,)," "))))))))</f>
        <v/>
      </c>
      <c r="O24" s="721" t="str">
        <f>IF(H24="","",(IFERROR(VLOOKUP($H24,【選択肢】!$K$3:$O$86,4,)," ")&amp;IF(I24="","",","&amp;IFERROR(VLOOKUP($I24,【選択肢】!$K$3:$O$86,4,)," ")&amp;IF(J24="","",","&amp;IFERROR(VLOOKUP($J24,【選択肢】!$K$3:$O$86,4,)," ")&amp;IF(K24="","",","&amp;IFERROR(VLOOKUP($K24,【選択肢】!$K$3:$O$86,4,)," ")&amp;IF(L24="","",","&amp;IFERROR(VLOOKUP($L24,【選択肢】!$K$3:$O$86,4,)," ")&amp;IF(M24="","",","&amp;IFERROR(VLOOKUP($M24,【選択肢】!$K$3:$O$86,4,)," "))))))))</f>
        <v/>
      </c>
      <c r="P24" s="813" t="str">
        <f>IF(H24="","",(IFERROR(VLOOKUP($H24,【選択肢】!$K$3:$O$86,5,)," ")&amp;IF(I24="","",","&amp;IFERROR(VLOOKUP($I24,【選択肢】!$K$3:$O$86,5,)," ")&amp;IF(J24="","",","&amp;IFERROR(VLOOKUP($J24,【選択肢】!$K$3:$O$86,5,)," ")&amp;IF(K24="","",","&amp;IFERROR(VLOOKUP($K24,【選択肢】!$K$3:$O$86,5,)," ")&amp;IF(L24="","",","&amp;IFERROR(VLOOKUP($L24,【選択肢】!$K$3:$O$86,5,)," ")&amp;IF(M24="","",","&amp;IFERROR(VLOOKUP($M24,【選択肢】!$K$3:$O$86,5,)," "))))))))</f>
        <v/>
      </c>
      <c r="Q24" s="950"/>
      <c r="R24" s="554"/>
      <c r="S24" s="545"/>
      <c r="T24" s="545"/>
      <c r="U24" s="545"/>
      <c r="V24" s="545"/>
      <c r="W24" s="545"/>
      <c r="X24" s="545"/>
    </row>
    <row r="25" spans="2:24" ht="26.25" customHeight="1" x14ac:dyDescent="0.15">
      <c r="B25" s="567"/>
      <c r="C25" s="568"/>
      <c r="D25" s="569"/>
      <c r="E25" s="570"/>
      <c r="F25" s="571" t="s">
        <v>1395</v>
      </c>
      <c r="G25" s="572"/>
      <c r="H25" s="573"/>
      <c r="I25" s="573"/>
      <c r="J25" s="573"/>
      <c r="K25" s="573"/>
      <c r="L25" s="573"/>
      <c r="M25" s="573"/>
      <c r="N25" s="574"/>
      <c r="O25" s="574"/>
      <c r="P25" s="574"/>
      <c r="Q25" s="575"/>
      <c r="R25" s="554"/>
      <c r="S25" s="545"/>
      <c r="T25" s="545"/>
      <c r="U25" s="545"/>
      <c r="V25" s="545"/>
      <c r="W25" s="545"/>
      <c r="X25" s="545"/>
    </row>
    <row r="26" spans="2:24" ht="18" customHeight="1" x14ac:dyDescent="0.15">
      <c r="B26" s="576"/>
      <c r="C26" s="577"/>
      <c r="D26" s="578"/>
      <c r="E26" s="579"/>
      <c r="F26" s="579"/>
      <c r="G26" s="580"/>
      <c r="H26" s="581"/>
      <c r="I26" s="581"/>
      <c r="J26" s="581"/>
      <c r="K26" s="581"/>
      <c r="L26" s="581"/>
      <c r="M26" s="581"/>
      <c r="N26" s="582"/>
      <c r="O26" s="583"/>
      <c r="P26" s="584"/>
      <c r="Q26" s="585"/>
    </row>
    <row r="27" spans="2:24" ht="34.5" customHeight="1" x14ac:dyDescent="0.15">
      <c r="B27" s="576"/>
      <c r="C27" s="577"/>
      <c r="D27" s="578"/>
      <c r="E27" s="586" t="s">
        <v>1388</v>
      </c>
      <c r="F27" s="587" t="s">
        <v>1396</v>
      </c>
      <c r="G27" s="588" t="s">
        <v>1206</v>
      </c>
      <c r="H27" s="581"/>
      <c r="I27" s="581"/>
      <c r="J27" s="581"/>
      <c r="K27" s="581"/>
      <c r="L27" s="581"/>
      <c r="M27" s="581"/>
      <c r="N27" s="582"/>
      <c r="O27" s="583"/>
      <c r="P27" s="584"/>
      <c r="Q27" s="585"/>
    </row>
    <row r="28" spans="2:24" ht="33" customHeight="1" x14ac:dyDescent="0.15">
      <c r="B28" s="2162" t="s">
        <v>1397</v>
      </c>
      <c r="C28" s="2162"/>
      <c r="D28" s="2162"/>
      <c r="E28" s="589">
        <f>MAX(E10:E25)</f>
        <v>0</v>
      </c>
      <c r="F28" s="589">
        <f>MAX(F10:F25)</f>
        <v>0</v>
      </c>
      <c r="G28" s="590">
        <f>SUM(E28+F28)</f>
        <v>0</v>
      </c>
      <c r="H28" s="581"/>
      <c r="I28" s="581"/>
      <c r="J28" s="581"/>
      <c r="K28" s="581"/>
      <c r="L28" s="581"/>
      <c r="M28" s="581"/>
      <c r="N28" s="582"/>
      <c r="O28" s="583"/>
      <c r="P28" s="584"/>
      <c r="Q28" s="585"/>
    </row>
    <row r="29" spans="2:24" ht="33" customHeight="1" x14ac:dyDescent="0.15">
      <c r="B29" s="576"/>
      <c r="C29" s="577"/>
      <c r="D29" s="578"/>
      <c r="E29" s="579"/>
      <c r="F29" s="579"/>
      <c r="G29" s="580"/>
      <c r="H29" s="581"/>
      <c r="I29" s="581"/>
      <c r="J29" s="581"/>
      <c r="K29" s="581"/>
      <c r="L29" s="581"/>
      <c r="M29" s="581"/>
      <c r="N29" s="582"/>
      <c r="O29" s="583"/>
      <c r="P29" s="584"/>
      <c r="Q29" s="585"/>
    </row>
    <row r="30" spans="2:24" ht="18" customHeight="1" x14ac:dyDescent="0.15">
      <c r="B30" s="2153"/>
      <c r="C30" s="2154"/>
      <c r="D30" s="2155"/>
      <c r="E30" s="591"/>
      <c r="F30" s="591"/>
      <c r="G30" s="591"/>
      <c r="H30" s="591"/>
      <c r="I30" s="591"/>
      <c r="J30" s="591"/>
      <c r="K30" s="591"/>
      <c r="L30" s="591"/>
      <c r="M30" s="591"/>
      <c r="N30" s="592"/>
      <c r="O30" s="585"/>
      <c r="P30" s="2156"/>
      <c r="Q30" s="2157"/>
    </row>
    <row r="31" spans="2:24" ht="18" customHeight="1" x14ac:dyDescent="0.15">
      <c r="B31" s="2153"/>
      <c r="C31" s="2154"/>
      <c r="D31" s="2155"/>
      <c r="E31" s="591"/>
      <c r="F31" s="591"/>
      <c r="G31" s="591"/>
      <c r="H31" s="591"/>
      <c r="I31" s="591"/>
      <c r="J31" s="591"/>
      <c r="K31" s="591"/>
      <c r="L31" s="591"/>
      <c r="M31" s="591"/>
      <c r="N31" s="592"/>
      <c r="P31" s="2156"/>
      <c r="Q31" s="2157"/>
    </row>
    <row r="32" spans="2:24" ht="18" customHeight="1" x14ac:dyDescent="0.15">
      <c r="B32" s="2153"/>
      <c r="C32" s="2154"/>
      <c r="D32" s="2155"/>
      <c r="E32" s="591"/>
      <c r="F32" s="591"/>
      <c r="G32" s="591"/>
      <c r="H32" s="591"/>
      <c r="I32" s="591"/>
      <c r="J32" s="591"/>
      <c r="K32" s="591"/>
      <c r="L32" s="591"/>
      <c r="M32" s="591"/>
      <c r="N32" s="592"/>
      <c r="O32" s="585"/>
      <c r="P32" s="2156"/>
      <c r="Q32" s="2157"/>
    </row>
    <row r="33" spans="2:17" ht="18" customHeight="1" x14ac:dyDescent="0.15">
      <c r="B33" s="2153"/>
      <c r="C33" s="2154"/>
      <c r="D33" s="2155"/>
      <c r="E33" s="591"/>
      <c r="F33" s="591"/>
      <c r="G33" s="591"/>
      <c r="H33" s="591"/>
      <c r="I33" s="591"/>
      <c r="J33" s="591"/>
      <c r="K33" s="591"/>
      <c r="L33" s="591"/>
      <c r="M33" s="591"/>
      <c r="N33" s="592"/>
      <c r="O33" s="585"/>
      <c r="P33" s="2156"/>
      <c r="Q33" s="2157"/>
    </row>
    <row r="34" spans="2:17" ht="18" customHeight="1" x14ac:dyDescent="0.15">
      <c r="B34" s="2153"/>
      <c r="C34" s="2154"/>
      <c r="D34" s="2155"/>
      <c r="E34" s="591"/>
      <c r="F34" s="591"/>
      <c r="G34" s="591"/>
      <c r="H34" s="591"/>
      <c r="I34" s="591"/>
      <c r="J34" s="591"/>
      <c r="K34" s="591"/>
      <c r="L34" s="591"/>
      <c r="M34" s="591"/>
      <c r="N34" s="592"/>
      <c r="P34" s="2156"/>
      <c r="Q34" s="2157"/>
    </row>
    <row r="35" spans="2:17" ht="18" customHeight="1" x14ac:dyDescent="0.15">
      <c r="B35" s="2153"/>
      <c r="C35" s="2154"/>
      <c r="D35" s="2155"/>
      <c r="E35" s="591"/>
      <c r="F35" s="591"/>
      <c r="G35" s="591"/>
      <c r="H35" s="591"/>
      <c r="I35" s="591"/>
      <c r="J35" s="591"/>
      <c r="K35" s="591"/>
      <c r="L35" s="591"/>
      <c r="M35" s="591"/>
      <c r="N35" s="592"/>
      <c r="O35" s="585"/>
      <c r="P35" s="2156"/>
      <c r="Q35" s="2157"/>
    </row>
    <row r="36" spans="2:17" ht="18" customHeight="1" x14ac:dyDescent="0.15">
      <c r="B36" s="2153"/>
      <c r="C36" s="2154"/>
      <c r="D36" s="2155"/>
      <c r="E36" s="591"/>
      <c r="F36" s="591"/>
      <c r="G36" s="591"/>
      <c r="H36" s="591"/>
      <c r="I36" s="591"/>
      <c r="J36" s="591"/>
      <c r="K36" s="591"/>
      <c r="L36" s="591"/>
      <c r="M36" s="591"/>
      <c r="N36" s="592"/>
      <c r="O36" s="585"/>
      <c r="P36" s="2156"/>
      <c r="Q36" s="2157"/>
    </row>
    <row r="37" spans="2:17" ht="18" customHeight="1" x14ac:dyDescent="0.15">
      <c r="B37" s="2153"/>
      <c r="C37" s="2154"/>
      <c r="D37" s="2155"/>
      <c r="E37" s="591"/>
      <c r="F37" s="591"/>
      <c r="G37" s="591"/>
      <c r="H37" s="591"/>
      <c r="I37" s="591"/>
      <c r="J37" s="591"/>
      <c r="K37" s="591"/>
      <c r="L37" s="591"/>
      <c r="M37" s="591"/>
      <c r="N37" s="591"/>
      <c r="P37" s="2156"/>
      <c r="Q37" s="2157"/>
    </row>
    <row r="38" spans="2:17" ht="18" customHeight="1" x14ac:dyDescent="0.15">
      <c r="B38" s="2153"/>
      <c r="C38" s="2154"/>
      <c r="D38" s="2155"/>
      <c r="E38" s="591"/>
      <c r="F38" s="591"/>
      <c r="G38" s="591"/>
      <c r="H38" s="591"/>
      <c r="I38" s="591"/>
      <c r="J38" s="591"/>
      <c r="K38" s="591"/>
      <c r="L38" s="591"/>
      <c r="M38" s="591"/>
      <c r="N38" s="592"/>
      <c r="O38" s="585"/>
      <c r="P38" s="2156"/>
      <c r="Q38" s="2157"/>
    </row>
    <row r="39" spans="2:17" ht="18" customHeight="1" x14ac:dyDescent="0.15">
      <c r="B39" s="2153"/>
      <c r="C39" s="2154"/>
      <c r="D39" s="2155"/>
      <c r="E39" s="591"/>
      <c r="F39" s="591"/>
      <c r="G39" s="591"/>
      <c r="H39" s="591"/>
      <c r="I39" s="591"/>
      <c r="J39" s="591"/>
      <c r="K39" s="591"/>
      <c r="L39" s="591"/>
      <c r="M39" s="591"/>
      <c r="N39" s="592"/>
      <c r="O39" s="585"/>
      <c r="P39" s="2156"/>
      <c r="Q39" s="2157"/>
    </row>
    <row r="40" spans="2:17" ht="18" customHeight="1" x14ac:dyDescent="0.15">
      <c r="B40" s="2153"/>
      <c r="C40" s="2154"/>
      <c r="D40" s="2155"/>
      <c r="E40" s="591"/>
      <c r="F40" s="591"/>
      <c r="G40" s="591"/>
      <c r="H40" s="591"/>
      <c r="I40" s="591"/>
      <c r="J40" s="591"/>
      <c r="K40" s="591"/>
      <c r="L40" s="591"/>
      <c r="M40" s="591"/>
      <c r="N40" s="592"/>
      <c r="P40" s="2156"/>
      <c r="Q40" s="2157"/>
    </row>
    <row r="41" spans="2:17" ht="18" customHeight="1" x14ac:dyDescent="0.15">
      <c r="B41" s="2153"/>
      <c r="C41" s="2154"/>
      <c r="D41" s="2155"/>
      <c r="E41" s="591"/>
      <c r="F41" s="591"/>
      <c r="G41" s="591"/>
      <c r="H41" s="591"/>
      <c r="I41" s="591"/>
      <c r="J41" s="591"/>
      <c r="K41" s="591"/>
      <c r="L41" s="591"/>
      <c r="M41" s="591"/>
      <c r="N41" s="592"/>
      <c r="O41" s="585"/>
      <c r="P41" s="2156"/>
      <c r="Q41" s="2157"/>
    </row>
    <row r="42" spans="2:17" ht="18" customHeight="1" x14ac:dyDescent="0.15">
      <c r="B42" s="2153"/>
      <c r="C42" s="2154"/>
      <c r="D42" s="2155"/>
      <c r="E42" s="591"/>
      <c r="F42" s="591"/>
      <c r="G42" s="591"/>
      <c r="H42" s="591"/>
      <c r="I42" s="591"/>
      <c r="J42" s="591"/>
      <c r="K42" s="591"/>
      <c r="L42" s="591"/>
      <c r="M42" s="591"/>
      <c r="N42" s="592"/>
      <c r="O42" s="585"/>
      <c r="P42" s="2156"/>
      <c r="Q42" s="2157"/>
    </row>
    <row r="43" spans="2:17" ht="18" customHeight="1" x14ac:dyDescent="0.15">
      <c r="B43" s="2153"/>
      <c r="C43" s="2154"/>
      <c r="D43" s="2155"/>
      <c r="E43" s="591"/>
      <c r="F43" s="591"/>
      <c r="G43" s="591"/>
      <c r="H43" s="591"/>
      <c r="I43" s="591"/>
      <c r="J43" s="591"/>
      <c r="K43" s="591"/>
      <c r="L43" s="591"/>
      <c r="M43" s="591"/>
      <c r="N43" s="592"/>
      <c r="P43" s="2156"/>
      <c r="Q43" s="2157"/>
    </row>
    <row r="44" spans="2:17" ht="18" customHeight="1" x14ac:dyDescent="0.15">
      <c r="B44" s="2153"/>
      <c r="C44" s="2154"/>
      <c r="D44" s="2155"/>
      <c r="E44" s="591"/>
      <c r="F44" s="591"/>
      <c r="G44" s="591"/>
      <c r="H44" s="591"/>
      <c r="I44" s="591"/>
      <c r="J44" s="591"/>
      <c r="K44" s="591"/>
      <c r="L44" s="591"/>
      <c r="M44" s="591"/>
      <c r="N44" s="592"/>
      <c r="O44" s="585"/>
      <c r="P44" s="2156"/>
      <c r="Q44" s="2157"/>
    </row>
    <row r="45" spans="2:17" ht="18" customHeight="1" x14ac:dyDescent="0.15">
      <c r="B45" s="2153"/>
      <c r="C45" s="2154"/>
      <c r="D45" s="2155"/>
      <c r="E45" s="591"/>
      <c r="F45" s="591"/>
      <c r="G45" s="591"/>
      <c r="H45" s="591"/>
      <c r="I45" s="591"/>
      <c r="J45" s="591"/>
      <c r="K45" s="591"/>
      <c r="L45" s="591"/>
      <c r="M45" s="591"/>
      <c r="N45" s="592"/>
      <c r="O45" s="585"/>
      <c r="P45" s="2156"/>
      <c r="Q45" s="2157"/>
    </row>
    <row r="46" spans="2:17" ht="18" customHeight="1" x14ac:dyDescent="0.15">
      <c r="B46" s="2153"/>
      <c r="C46" s="2154"/>
      <c r="D46" s="2155"/>
      <c r="E46" s="591"/>
      <c r="F46" s="591"/>
      <c r="G46" s="591"/>
      <c r="H46" s="591"/>
      <c r="I46" s="591"/>
      <c r="J46" s="591"/>
      <c r="K46" s="591"/>
      <c r="L46" s="591"/>
      <c r="M46" s="591"/>
      <c r="N46" s="592"/>
      <c r="P46" s="2156"/>
      <c r="Q46" s="2157"/>
    </row>
    <row r="47" spans="2:17" ht="18" customHeight="1" x14ac:dyDescent="0.15">
      <c r="B47" s="2153"/>
      <c r="C47" s="2154"/>
      <c r="D47" s="2155"/>
      <c r="E47" s="591"/>
      <c r="F47" s="591"/>
      <c r="G47" s="591"/>
      <c r="H47" s="591"/>
      <c r="I47" s="591"/>
      <c r="J47" s="591"/>
      <c r="K47" s="591"/>
      <c r="L47" s="591"/>
      <c r="M47" s="591"/>
      <c r="N47" s="592"/>
      <c r="O47" s="585"/>
      <c r="P47" s="2156"/>
      <c r="Q47" s="2157"/>
    </row>
    <row r="48" spans="2:17" ht="18" customHeight="1" x14ac:dyDescent="0.15">
      <c r="B48" s="2153"/>
      <c r="C48" s="2154"/>
      <c r="D48" s="2155"/>
      <c r="E48" s="591"/>
      <c r="F48" s="591"/>
      <c r="G48" s="591"/>
      <c r="H48" s="591"/>
      <c r="I48" s="591"/>
      <c r="J48" s="591"/>
      <c r="K48" s="591"/>
      <c r="L48" s="591"/>
      <c r="M48" s="591"/>
      <c r="N48" s="592"/>
      <c r="O48" s="585"/>
      <c r="P48" s="2156"/>
      <c r="Q48" s="2157"/>
    </row>
    <row r="49" spans="2:17" ht="18" customHeight="1" x14ac:dyDescent="0.15">
      <c r="B49" s="2153"/>
      <c r="C49" s="2154"/>
      <c r="D49" s="2155"/>
      <c r="E49" s="591"/>
      <c r="F49" s="591"/>
      <c r="G49" s="591"/>
      <c r="H49" s="591"/>
      <c r="I49" s="591"/>
      <c r="J49" s="591"/>
      <c r="K49" s="591"/>
      <c r="L49" s="591"/>
      <c r="M49" s="591"/>
      <c r="N49" s="592"/>
      <c r="P49" s="2156"/>
      <c r="Q49" s="2157"/>
    </row>
    <row r="50" spans="2:17" ht="18" customHeight="1" x14ac:dyDescent="0.15">
      <c r="B50" s="2153"/>
      <c r="C50" s="2154"/>
      <c r="D50" s="2155"/>
      <c r="E50" s="591"/>
      <c r="F50" s="591"/>
      <c r="G50" s="591"/>
      <c r="H50" s="591"/>
      <c r="I50" s="591"/>
      <c r="J50" s="591"/>
      <c r="K50" s="591"/>
      <c r="L50" s="591"/>
      <c r="M50" s="591"/>
      <c r="N50" s="592"/>
      <c r="O50" s="585"/>
      <c r="P50" s="2156"/>
      <c r="Q50" s="2157"/>
    </row>
    <row r="51" spans="2:17" ht="18" customHeight="1" x14ac:dyDescent="0.15">
      <c r="B51" s="2153"/>
      <c r="C51" s="2154"/>
      <c r="D51" s="2155"/>
      <c r="E51" s="591"/>
      <c r="F51" s="591"/>
      <c r="G51" s="591"/>
      <c r="H51" s="591"/>
      <c r="I51" s="591"/>
      <c r="J51" s="591"/>
      <c r="K51" s="591"/>
      <c r="L51" s="591"/>
      <c r="M51" s="591"/>
      <c r="N51" s="592"/>
      <c r="O51" s="585"/>
      <c r="P51" s="2156"/>
      <c r="Q51" s="2157"/>
    </row>
    <row r="52" spans="2:17" ht="18" customHeight="1" x14ac:dyDescent="0.15">
      <c r="B52" s="2153"/>
      <c r="C52" s="2154"/>
      <c r="D52" s="2155"/>
      <c r="E52" s="591"/>
      <c r="F52" s="591"/>
      <c r="G52" s="591"/>
      <c r="H52" s="591"/>
      <c r="I52" s="591"/>
      <c r="J52" s="591"/>
      <c r="K52" s="591"/>
      <c r="L52" s="591"/>
      <c r="M52" s="591"/>
      <c r="N52" s="592"/>
      <c r="P52" s="2156"/>
      <c r="Q52" s="2157"/>
    </row>
    <row r="53" spans="2:17" ht="18" customHeight="1" x14ac:dyDescent="0.15">
      <c r="B53" s="2153"/>
      <c r="C53" s="2154"/>
      <c r="D53" s="2155"/>
      <c r="E53" s="591"/>
      <c r="F53" s="591"/>
      <c r="G53" s="591"/>
      <c r="H53" s="591"/>
      <c r="I53" s="591"/>
      <c r="J53" s="591"/>
      <c r="K53" s="591"/>
      <c r="L53" s="591"/>
      <c r="M53" s="591"/>
      <c r="N53" s="592"/>
      <c r="O53" s="585"/>
      <c r="P53" s="2156"/>
      <c r="Q53" s="2157"/>
    </row>
    <row r="54" spans="2:17" ht="18" customHeight="1" x14ac:dyDescent="0.15">
      <c r="B54" s="2153"/>
      <c r="C54" s="2154"/>
      <c r="D54" s="2155"/>
      <c r="E54" s="591"/>
      <c r="F54" s="591"/>
      <c r="G54" s="591"/>
      <c r="H54" s="591"/>
      <c r="I54" s="591"/>
      <c r="J54" s="591"/>
      <c r="K54" s="591"/>
      <c r="L54" s="591"/>
      <c r="M54" s="591"/>
      <c r="N54" s="592"/>
      <c r="O54" s="585"/>
      <c r="P54" s="2156"/>
      <c r="Q54" s="2157"/>
    </row>
    <row r="55" spans="2:17" ht="18" customHeight="1" x14ac:dyDescent="0.15">
      <c r="B55" s="2153"/>
      <c r="C55" s="2154"/>
      <c r="D55" s="2155"/>
      <c r="E55" s="591"/>
      <c r="F55" s="591"/>
      <c r="G55" s="591"/>
      <c r="H55" s="591"/>
      <c r="I55" s="591"/>
      <c r="J55" s="591"/>
      <c r="K55" s="591"/>
      <c r="L55" s="591"/>
      <c r="M55" s="591"/>
      <c r="N55" s="592"/>
      <c r="P55" s="2156"/>
      <c r="Q55" s="2157"/>
    </row>
    <row r="56" spans="2:17" ht="18" customHeight="1" x14ac:dyDescent="0.15">
      <c r="B56" s="2153"/>
      <c r="C56" s="2154"/>
      <c r="D56" s="2155"/>
      <c r="E56" s="591"/>
      <c r="F56" s="591"/>
      <c r="G56" s="591"/>
      <c r="H56" s="591"/>
      <c r="I56" s="591"/>
      <c r="J56" s="591"/>
      <c r="K56" s="591"/>
      <c r="L56" s="591"/>
      <c r="M56" s="591"/>
      <c r="N56" s="592"/>
      <c r="O56" s="585"/>
      <c r="P56" s="2156"/>
      <c r="Q56" s="2157"/>
    </row>
    <row r="57" spans="2:17" ht="18" customHeight="1" x14ac:dyDescent="0.15">
      <c r="B57" s="2153"/>
      <c r="C57" s="2154"/>
      <c r="D57" s="2155"/>
      <c r="E57" s="591"/>
      <c r="F57" s="591"/>
      <c r="G57" s="591"/>
      <c r="H57" s="591"/>
      <c r="I57" s="591"/>
      <c r="J57" s="591"/>
      <c r="K57" s="591"/>
      <c r="L57" s="591"/>
      <c r="M57" s="591"/>
      <c r="N57" s="592"/>
      <c r="O57" s="585"/>
      <c r="P57" s="2156"/>
      <c r="Q57" s="2157"/>
    </row>
    <row r="58" spans="2:17" ht="18" customHeight="1" x14ac:dyDescent="0.15">
      <c r="B58" s="2153"/>
      <c r="C58" s="2154"/>
      <c r="D58" s="2155"/>
      <c r="E58" s="591"/>
      <c r="F58" s="591"/>
      <c r="G58" s="591"/>
      <c r="H58" s="591"/>
      <c r="I58" s="591"/>
      <c r="J58" s="591"/>
      <c r="K58" s="591"/>
      <c r="L58" s="591"/>
      <c r="M58" s="591"/>
      <c r="N58" s="592"/>
      <c r="P58" s="2156"/>
      <c r="Q58" s="2157"/>
    </row>
    <row r="59" spans="2:17" ht="18" customHeight="1" x14ac:dyDescent="0.15">
      <c r="B59" s="2153"/>
      <c r="C59" s="2154"/>
      <c r="D59" s="2155"/>
      <c r="E59" s="591"/>
      <c r="F59" s="591"/>
      <c r="G59" s="591"/>
      <c r="H59" s="591"/>
      <c r="I59" s="591"/>
      <c r="J59" s="591"/>
      <c r="K59" s="591"/>
      <c r="L59" s="591"/>
      <c r="M59" s="591"/>
      <c r="N59" s="592"/>
      <c r="O59" s="585"/>
      <c r="P59" s="2156"/>
      <c r="Q59" s="2157"/>
    </row>
    <row r="60" spans="2:17" ht="18" customHeight="1" x14ac:dyDescent="0.15">
      <c r="B60" s="2153"/>
      <c r="C60" s="2154"/>
      <c r="D60" s="2155"/>
      <c r="E60" s="591"/>
      <c r="F60" s="591"/>
      <c r="G60" s="591"/>
      <c r="H60" s="591"/>
      <c r="I60" s="591"/>
      <c r="J60" s="591"/>
      <c r="K60" s="591"/>
      <c r="L60" s="591"/>
      <c r="M60" s="591"/>
      <c r="N60" s="592"/>
      <c r="O60" s="585"/>
      <c r="P60" s="2156"/>
      <c r="Q60" s="2157"/>
    </row>
    <row r="61" spans="2:17" ht="18" customHeight="1" x14ac:dyDescent="0.15">
      <c r="B61" s="2153"/>
      <c r="C61" s="2154"/>
      <c r="D61" s="2155"/>
      <c r="E61" s="591"/>
      <c r="F61" s="591"/>
      <c r="G61" s="591"/>
      <c r="H61" s="591"/>
      <c r="I61" s="591"/>
      <c r="J61" s="591"/>
      <c r="K61" s="591"/>
      <c r="L61" s="591"/>
      <c r="M61" s="591"/>
      <c r="N61" s="592"/>
      <c r="P61" s="2156"/>
      <c r="Q61" s="2157"/>
    </row>
    <row r="62" spans="2:17" ht="18" customHeight="1" x14ac:dyDescent="0.15">
      <c r="B62" s="2153"/>
      <c r="C62" s="2154"/>
      <c r="D62" s="2155"/>
      <c r="E62" s="591"/>
      <c r="F62" s="591"/>
      <c r="G62" s="591"/>
      <c r="H62" s="591"/>
      <c r="I62" s="591"/>
      <c r="J62" s="591"/>
      <c r="K62" s="591"/>
      <c r="L62" s="591"/>
      <c r="M62" s="591"/>
      <c r="N62" s="592"/>
      <c r="O62" s="585"/>
      <c r="P62" s="2156"/>
      <c r="Q62" s="2157"/>
    </row>
    <row r="63" spans="2:17" ht="18" customHeight="1" x14ac:dyDescent="0.15">
      <c r="B63" s="2153"/>
      <c r="C63" s="2154"/>
      <c r="D63" s="2155"/>
      <c r="E63" s="591"/>
      <c r="F63" s="591"/>
      <c r="G63" s="591"/>
      <c r="H63" s="591"/>
      <c r="I63" s="591"/>
      <c r="J63" s="591"/>
      <c r="K63" s="591"/>
      <c r="L63" s="591"/>
      <c r="M63" s="591"/>
      <c r="N63" s="592"/>
      <c r="O63" s="585"/>
      <c r="P63" s="2156"/>
      <c r="Q63" s="2157"/>
    </row>
    <row r="64" spans="2:17" ht="18" customHeight="1" x14ac:dyDescent="0.15">
      <c r="B64" s="2153"/>
      <c r="C64" s="2154"/>
      <c r="D64" s="2155"/>
      <c r="E64" s="591"/>
      <c r="F64" s="591"/>
      <c r="G64" s="591"/>
      <c r="H64" s="591"/>
      <c r="I64" s="591"/>
      <c r="J64" s="591"/>
      <c r="K64" s="591"/>
      <c r="L64" s="591"/>
      <c r="M64" s="591"/>
      <c r="N64" s="592"/>
      <c r="P64" s="2156"/>
      <c r="Q64" s="2157"/>
    </row>
    <row r="65" spans="2:17" ht="18" customHeight="1" x14ac:dyDescent="0.15">
      <c r="B65" s="2153"/>
      <c r="C65" s="2154"/>
      <c r="D65" s="2155"/>
      <c r="E65" s="591"/>
      <c r="F65" s="591"/>
      <c r="G65" s="591"/>
      <c r="H65" s="591"/>
      <c r="I65" s="591"/>
      <c r="J65" s="591"/>
      <c r="K65" s="591"/>
      <c r="L65" s="591"/>
      <c r="M65" s="591"/>
      <c r="N65" s="592"/>
      <c r="O65" s="585"/>
      <c r="P65" s="2156"/>
      <c r="Q65" s="2157"/>
    </row>
    <row r="66" spans="2:17" ht="18" customHeight="1" x14ac:dyDescent="0.15">
      <c r="B66" s="2153"/>
      <c r="C66" s="2154"/>
      <c r="D66" s="2155"/>
      <c r="E66" s="591"/>
      <c r="F66" s="591"/>
      <c r="G66" s="591"/>
      <c r="H66" s="591"/>
      <c r="I66" s="591"/>
      <c r="J66" s="591"/>
      <c r="K66" s="591"/>
      <c r="L66" s="591"/>
      <c r="M66" s="591"/>
      <c r="N66" s="592"/>
      <c r="O66" s="585"/>
      <c r="P66" s="2156"/>
      <c r="Q66" s="2157"/>
    </row>
    <row r="67" spans="2:17" ht="18" customHeight="1" x14ac:dyDescent="0.15">
      <c r="B67" s="2153"/>
      <c r="C67" s="2154"/>
      <c r="D67" s="2155"/>
      <c r="E67" s="591"/>
      <c r="F67" s="591"/>
      <c r="G67" s="591"/>
      <c r="H67" s="591"/>
      <c r="I67" s="591"/>
      <c r="J67" s="591"/>
      <c r="K67" s="591"/>
      <c r="L67" s="591"/>
      <c r="M67" s="591"/>
      <c r="N67" s="592"/>
      <c r="P67" s="2156"/>
      <c r="Q67" s="2157"/>
    </row>
    <row r="68" spans="2:17" ht="18" customHeight="1" x14ac:dyDescent="0.15">
      <c r="B68" s="2153"/>
      <c r="C68" s="2154"/>
      <c r="D68" s="2155"/>
      <c r="E68" s="591"/>
      <c r="F68" s="591"/>
      <c r="G68" s="591"/>
      <c r="H68" s="591"/>
      <c r="I68" s="591"/>
      <c r="J68" s="591"/>
      <c r="K68" s="591"/>
      <c r="L68" s="591"/>
      <c r="M68" s="591"/>
      <c r="N68" s="592"/>
      <c r="O68" s="585"/>
      <c r="P68" s="2156"/>
      <c r="Q68" s="2157"/>
    </row>
  </sheetData>
  <sheetProtection insertRows="0" deleteRows="0" autoFilter="0"/>
  <mergeCells count="81">
    <mergeCell ref="B6:Q6"/>
    <mergeCell ref="B7:D7"/>
    <mergeCell ref="E7:G7"/>
    <mergeCell ref="H7:M9"/>
    <mergeCell ref="N7:P7"/>
    <mergeCell ref="Q7:Q9"/>
    <mergeCell ref="Q30:Q32"/>
    <mergeCell ref="R7:X9"/>
    <mergeCell ref="B8:B9"/>
    <mergeCell ref="C8:D8"/>
    <mergeCell ref="E8:E9"/>
    <mergeCell ref="F8:F9"/>
    <mergeCell ref="G8:G9"/>
    <mergeCell ref="N8:N9"/>
    <mergeCell ref="O8:O9"/>
    <mergeCell ref="P8:P9"/>
    <mergeCell ref="B28:D28"/>
    <mergeCell ref="B30:B32"/>
    <mergeCell ref="C30:C32"/>
    <mergeCell ref="D30:D32"/>
    <mergeCell ref="P30:P32"/>
    <mergeCell ref="B36:B38"/>
    <mergeCell ref="C36:C38"/>
    <mergeCell ref="D36:D38"/>
    <mergeCell ref="P36:P38"/>
    <mergeCell ref="Q36:Q38"/>
    <mergeCell ref="B33:B35"/>
    <mergeCell ref="C33:C35"/>
    <mergeCell ref="D33:D35"/>
    <mergeCell ref="P33:P35"/>
    <mergeCell ref="Q33:Q35"/>
    <mergeCell ref="B42:B44"/>
    <mergeCell ref="C42:C44"/>
    <mergeCell ref="D42:D44"/>
    <mergeCell ref="P42:P44"/>
    <mergeCell ref="Q42:Q44"/>
    <mergeCell ref="B39:B41"/>
    <mergeCell ref="C39:C41"/>
    <mergeCell ref="D39:D41"/>
    <mergeCell ref="P39:P41"/>
    <mergeCell ref="Q39:Q41"/>
    <mergeCell ref="B48:B50"/>
    <mergeCell ref="C48:C50"/>
    <mergeCell ref="D48:D50"/>
    <mergeCell ref="P48:P50"/>
    <mergeCell ref="Q48:Q50"/>
    <mergeCell ref="B45:B47"/>
    <mergeCell ref="C45:C47"/>
    <mergeCell ref="D45:D47"/>
    <mergeCell ref="P45:P47"/>
    <mergeCell ref="Q45:Q47"/>
    <mergeCell ref="B54:B56"/>
    <mergeCell ref="C54:C56"/>
    <mergeCell ref="D54:D56"/>
    <mergeCell ref="P54:P56"/>
    <mergeCell ref="Q54:Q56"/>
    <mergeCell ref="B51:B53"/>
    <mergeCell ref="C51:C53"/>
    <mergeCell ref="D51:D53"/>
    <mergeCell ref="P51:P53"/>
    <mergeCell ref="Q51:Q53"/>
    <mergeCell ref="B60:B62"/>
    <mergeCell ref="C60:C62"/>
    <mergeCell ref="D60:D62"/>
    <mergeCell ref="P60:P62"/>
    <mergeCell ref="Q60:Q62"/>
    <mergeCell ref="B57:B59"/>
    <mergeCell ref="C57:C59"/>
    <mergeCell ref="D57:D59"/>
    <mergeCell ref="P57:P59"/>
    <mergeCell ref="Q57:Q59"/>
    <mergeCell ref="B66:B68"/>
    <mergeCell ref="C66:C68"/>
    <mergeCell ref="D66:D68"/>
    <mergeCell ref="P66:P68"/>
    <mergeCell ref="Q66:Q68"/>
    <mergeCell ref="B63:B65"/>
    <mergeCell ref="C63:C65"/>
    <mergeCell ref="D63:D65"/>
    <mergeCell ref="P63:P65"/>
    <mergeCell ref="Q63:Q65"/>
  </mergeCells>
  <phoneticPr fontId="3"/>
  <dataValidations count="3">
    <dataValidation imeMode="disabled" allowBlank="1" showInputMessage="1" showErrorMessage="1" sqref="E28:F28 E10:M24"/>
    <dataValidation imeMode="off" allowBlank="1" showInputMessage="1" showErrorMessage="1" sqref="C29:D29 C25 C26:D27 C24:D24 B24:B29 H25:M29 E25:F29 B11:D23"/>
    <dataValidation type="list" allowBlank="1" showInputMessage="1" showErrorMessage="1" prompt="年度を選択" sqref="G3">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T86"/>
  <sheetViews>
    <sheetView view="pageBreakPreview" topLeftCell="G1" zoomScale="69" zoomScaleNormal="98" zoomScaleSheetLayoutView="69" workbookViewId="0">
      <selection activeCell="S8" sqref="S8"/>
    </sheetView>
  </sheetViews>
  <sheetFormatPr defaultColWidth="9" defaultRowHeight="16.5" x14ac:dyDescent="0.15"/>
  <cols>
    <col min="1" max="1" width="7.375" style="646" bestFit="1" customWidth="1"/>
    <col min="2" max="2" width="9.375" style="646" customWidth="1"/>
    <col min="3" max="3" width="9.25" style="646" customWidth="1"/>
    <col min="4" max="5" width="24.625" style="646" customWidth="1"/>
    <col min="6" max="6" width="9.375" style="646" customWidth="1"/>
    <col min="7" max="7" width="8.125" style="646" customWidth="1"/>
    <col min="8" max="8" width="29" style="646" customWidth="1"/>
    <col min="9" max="9" width="10.875" style="646" customWidth="1"/>
    <col min="10" max="10" width="19.125" style="646" customWidth="1"/>
    <col min="11" max="11" width="5.875" style="694" bestFit="1" customWidth="1"/>
    <col min="12" max="12" width="11.375" style="694" customWidth="1"/>
    <col min="13" max="13" width="17.875" style="694" customWidth="1"/>
    <col min="14" max="14" width="21.875" style="694" customWidth="1"/>
    <col min="15" max="15" width="48.25" style="694" customWidth="1"/>
    <col min="16" max="16" width="9" style="646"/>
    <col min="17" max="17" width="36" style="646" customWidth="1"/>
    <col min="18" max="18" width="33" style="646" customWidth="1"/>
    <col min="19" max="19" width="31.75" style="646" customWidth="1"/>
    <col min="20" max="20" width="64.25" style="646" customWidth="1"/>
    <col min="21" max="16384" width="9" style="646"/>
  </cols>
  <sheetData>
    <row r="1" spans="1:20" ht="42.75" customHeight="1" x14ac:dyDescent="0.15">
      <c r="A1" s="2183"/>
      <c r="B1" s="2183"/>
      <c r="C1" s="2183"/>
      <c r="D1" s="2183"/>
      <c r="E1" s="2183"/>
      <c r="F1" s="2183"/>
      <c r="G1" s="2183"/>
      <c r="H1" s="2183"/>
      <c r="I1" s="2183"/>
      <c r="J1" s="2183"/>
      <c r="K1" s="2184" t="s">
        <v>1651</v>
      </c>
      <c r="L1" s="2185"/>
      <c r="M1" s="2185"/>
      <c r="N1" s="2185"/>
      <c r="O1" s="2186"/>
      <c r="P1" s="2187" t="s">
        <v>1652</v>
      </c>
      <c r="Q1" s="2189" t="s">
        <v>1653</v>
      </c>
      <c r="R1" s="643" t="s">
        <v>1654</v>
      </c>
      <c r="S1" s="644"/>
      <c r="T1" s="645"/>
    </row>
    <row r="2" spans="1:20" ht="33" x14ac:dyDescent="0.15">
      <c r="A2" s="647" t="s">
        <v>1655</v>
      </c>
      <c r="B2" s="648" t="s">
        <v>1656</v>
      </c>
      <c r="C2" s="647" t="s">
        <v>1657</v>
      </c>
      <c r="D2" s="648" t="s">
        <v>1658</v>
      </c>
      <c r="E2" s="649" t="s">
        <v>1659</v>
      </c>
      <c r="F2" s="649" t="s">
        <v>1660</v>
      </c>
      <c r="G2" s="647" t="s">
        <v>1661</v>
      </c>
      <c r="H2" s="647" t="s">
        <v>1662</v>
      </c>
      <c r="I2" s="650" t="s">
        <v>1663</v>
      </c>
      <c r="J2" s="648" t="s">
        <v>1664</v>
      </c>
      <c r="K2" s="651" t="s">
        <v>1665</v>
      </c>
      <c r="L2" s="652" t="s">
        <v>1391</v>
      </c>
      <c r="M2" s="2190" t="s">
        <v>1666</v>
      </c>
      <c r="N2" s="2191"/>
      <c r="O2" s="652" t="s">
        <v>1393</v>
      </c>
      <c r="P2" s="2188"/>
      <c r="Q2" s="2189"/>
      <c r="R2" s="2180" t="s">
        <v>1667</v>
      </c>
      <c r="S2" s="2181"/>
      <c r="T2" s="2182"/>
    </row>
    <row r="3" spans="1:20" ht="18" customHeight="1" x14ac:dyDescent="0.15">
      <c r="A3" s="653" t="s">
        <v>775</v>
      </c>
      <c r="B3" s="654" t="s">
        <v>790</v>
      </c>
      <c r="C3" s="655" t="s">
        <v>790</v>
      </c>
      <c r="D3" s="654" t="s">
        <v>1668</v>
      </c>
      <c r="E3" s="653" t="s">
        <v>1669</v>
      </c>
      <c r="F3" s="655" t="s">
        <v>1670</v>
      </c>
      <c r="G3" s="653" t="s">
        <v>1671</v>
      </c>
      <c r="H3" s="653" t="s">
        <v>1672</v>
      </c>
      <c r="I3" s="656">
        <v>1</v>
      </c>
      <c r="J3" s="654" t="s">
        <v>1289</v>
      </c>
      <c r="K3" s="657">
        <v>200</v>
      </c>
      <c r="L3" s="658" t="s">
        <v>1472</v>
      </c>
      <c r="M3" s="658" t="s">
        <v>1400</v>
      </c>
      <c r="N3" s="658" t="s">
        <v>1400</v>
      </c>
      <c r="O3" s="658" t="s">
        <v>1673</v>
      </c>
      <c r="P3" s="659"/>
      <c r="R3" s="2177" t="s">
        <v>1674</v>
      </c>
      <c r="S3" s="2178"/>
      <c r="T3" s="2179"/>
    </row>
    <row r="4" spans="1:20" ht="18" customHeight="1" x14ac:dyDescent="0.15">
      <c r="A4" s="660" t="s">
        <v>1675</v>
      </c>
      <c r="B4" s="661"/>
      <c r="C4" s="662" t="s">
        <v>1676</v>
      </c>
      <c r="D4" s="663" t="s">
        <v>1677</v>
      </c>
      <c r="E4" s="662" t="s">
        <v>1678</v>
      </c>
      <c r="F4" s="662" t="s">
        <v>1679</v>
      </c>
      <c r="G4" s="664" t="s">
        <v>1680</v>
      </c>
      <c r="H4" s="662" t="s">
        <v>1681</v>
      </c>
      <c r="I4" s="665">
        <v>2</v>
      </c>
      <c r="J4" s="663" t="s">
        <v>1290</v>
      </c>
      <c r="K4" s="657">
        <v>300</v>
      </c>
      <c r="L4" s="658" t="s">
        <v>1472</v>
      </c>
      <c r="M4" s="658" t="s">
        <v>1682</v>
      </c>
      <c r="N4" s="658" t="s">
        <v>1682</v>
      </c>
      <c r="O4" s="658" t="s">
        <v>1683</v>
      </c>
      <c r="P4" s="659"/>
      <c r="R4" s="2180" t="s">
        <v>1684</v>
      </c>
      <c r="S4" s="2181"/>
      <c r="T4" s="2182"/>
    </row>
    <row r="5" spans="1:20" ht="18" customHeight="1" x14ac:dyDescent="0.15">
      <c r="C5" s="660" t="s">
        <v>1685</v>
      </c>
      <c r="D5" s="663" t="s">
        <v>1686</v>
      </c>
      <c r="E5" s="662" t="s">
        <v>1687</v>
      </c>
      <c r="F5" s="666" t="s">
        <v>1688</v>
      </c>
      <c r="G5" s="667"/>
      <c r="H5" s="662" t="s">
        <v>1689</v>
      </c>
      <c r="I5" s="667"/>
      <c r="J5" s="663" t="s">
        <v>1291</v>
      </c>
      <c r="K5" s="659"/>
      <c r="L5" s="659"/>
      <c r="M5" s="659"/>
      <c r="N5" s="659"/>
      <c r="O5" s="659"/>
      <c r="P5" s="659"/>
      <c r="R5" s="2180" t="s">
        <v>1690</v>
      </c>
      <c r="S5" s="2181"/>
      <c r="T5" s="2182"/>
    </row>
    <row r="6" spans="1:20" ht="18" customHeight="1" x14ac:dyDescent="0.15">
      <c r="D6" s="663" t="s">
        <v>1691</v>
      </c>
      <c r="E6" s="662" t="s">
        <v>1692</v>
      </c>
      <c r="F6" s="668"/>
      <c r="G6" s="669"/>
      <c r="H6" s="662" t="s">
        <v>1693</v>
      </c>
      <c r="J6" s="663" t="s">
        <v>1292</v>
      </c>
      <c r="K6" s="657">
        <v>1</v>
      </c>
      <c r="L6" s="658" t="s">
        <v>1694</v>
      </c>
      <c r="M6" s="658" t="s">
        <v>1695</v>
      </c>
      <c r="N6" s="658" t="s">
        <v>1410</v>
      </c>
      <c r="O6" s="658" t="s">
        <v>1696</v>
      </c>
      <c r="P6" s="670">
        <f>COUNTIF('活動記録（多面的機能支払交付金の様式）'!$H$9:$M$28,【選択肢】!K6)</f>
        <v>0</v>
      </c>
      <c r="R6" s="671" t="s">
        <v>1697</v>
      </c>
      <c r="S6" s="672"/>
      <c r="T6" s="673"/>
    </row>
    <row r="7" spans="1:20" ht="18" customHeight="1" x14ac:dyDescent="0.15">
      <c r="D7" s="674" t="s">
        <v>1698</v>
      </c>
      <c r="E7" s="662" t="s">
        <v>1699</v>
      </c>
      <c r="F7" s="675"/>
      <c r="G7" s="669"/>
      <c r="H7" s="662" t="s">
        <v>1700</v>
      </c>
      <c r="J7" s="663" t="s">
        <v>1293</v>
      </c>
      <c r="K7" s="657">
        <v>2</v>
      </c>
      <c r="L7" s="658" t="s">
        <v>1694</v>
      </c>
      <c r="M7" s="658" t="s">
        <v>1695</v>
      </c>
      <c r="N7" s="658" t="s">
        <v>1413</v>
      </c>
      <c r="O7" s="658" t="s">
        <v>1701</v>
      </c>
      <c r="P7" s="670">
        <f>COUNTIF('活動記録（多面的機能支払交付金の様式）'!$H$9:$M$28,【選択肢】!K7)</f>
        <v>0</v>
      </c>
      <c r="R7" s="2180" t="s">
        <v>1702</v>
      </c>
      <c r="S7" s="2181"/>
      <c r="T7" s="2182"/>
    </row>
    <row r="8" spans="1:20" ht="18" customHeight="1" x14ac:dyDescent="0.15">
      <c r="E8" s="662" t="s">
        <v>1703</v>
      </c>
      <c r="F8" s="675"/>
      <c r="G8" s="669"/>
      <c r="H8" s="662" t="s">
        <v>1704</v>
      </c>
      <c r="J8" s="663" t="s">
        <v>1294</v>
      </c>
      <c r="K8" s="657">
        <v>3</v>
      </c>
      <c r="L8" s="658" t="s">
        <v>1694</v>
      </c>
      <c r="M8" s="658" t="s">
        <v>1415</v>
      </c>
      <c r="N8" s="658" t="s">
        <v>1415</v>
      </c>
      <c r="O8" s="658" t="s">
        <v>1705</v>
      </c>
      <c r="P8" s="670">
        <f>COUNTIF('活動記録（多面的機能支払交付金の様式）'!$H$9:$M$28,【選択肢】!K8)</f>
        <v>0</v>
      </c>
      <c r="R8" s="2180"/>
      <c r="S8" s="2181"/>
      <c r="T8" s="2182"/>
    </row>
    <row r="9" spans="1:20" ht="18" customHeight="1" x14ac:dyDescent="0.15">
      <c r="E9" s="662" t="s">
        <v>1706</v>
      </c>
      <c r="F9" s="675"/>
      <c r="G9" s="669"/>
      <c r="H9" s="662" t="s">
        <v>1707</v>
      </c>
      <c r="J9" s="663" t="s">
        <v>1295</v>
      </c>
      <c r="K9" s="657">
        <v>4</v>
      </c>
      <c r="L9" s="658" t="s">
        <v>1694</v>
      </c>
      <c r="M9" s="658" t="s">
        <v>1418</v>
      </c>
      <c r="N9" s="658" t="s">
        <v>1494</v>
      </c>
      <c r="O9" s="658" t="s">
        <v>1708</v>
      </c>
      <c r="P9" s="670">
        <f>COUNTIF('活動記録（多面的機能支払交付金の様式）'!$H$9:$M$28,【選択肢】!K9)</f>
        <v>0</v>
      </c>
      <c r="R9" s="2177" t="s">
        <v>1709</v>
      </c>
      <c r="S9" s="2178"/>
      <c r="T9" s="2179"/>
    </row>
    <row r="10" spans="1:20" ht="18" customHeight="1" x14ac:dyDescent="0.15">
      <c r="E10" s="662" t="s">
        <v>1710</v>
      </c>
      <c r="F10" s="675"/>
      <c r="G10" s="669"/>
      <c r="H10" s="662" t="s">
        <v>1711</v>
      </c>
      <c r="J10" s="674" t="s">
        <v>1296</v>
      </c>
      <c r="K10" s="657">
        <v>5</v>
      </c>
      <c r="L10" s="658" t="s">
        <v>1694</v>
      </c>
      <c r="M10" s="658" t="s">
        <v>1418</v>
      </c>
      <c r="N10" s="658" t="s">
        <v>1494</v>
      </c>
      <c r="O10" s="658" t="s">
        <v>1712</v>
      </c>
      <c r="P10" s="670">
        <f>COUNTIF('活動記録（多面的機能支払交付金の様式）'!$H$9:$M$28,【選択肢】!K10)</f>
        <v>0</v>
      </c>
      <c r="R10" s="2171" t="s">
        <v>1713</v>
      </c>
      <c r="S10" s="2172"/>
      <c r="T10" s="2173"/>
    </row>
    <row r="11" spans="1:20" ht="18" customHeight="1" x14ac:dyDescent="0.15">
      <c r="E11" s="660" t="s">
        <v>1714</v>
      </c>
      <c r="F11" s="675"/>
      <c r="G11" s="669"/>
      <c r="H11" s="662" t="s">
        <v>1715</v>
      </c>
      <c r="K11" s="657">
        <v>6</v>
      </c>
      <c r="L11" s="658" t="s">
        <v>1694</v>
      </c>
      <c r="M11" s="658" t="s">
        <v>1418</v>
      </c>
      <c r="N11" s="658" t="s">
        <v>1494</v>
      </c>
      <c r="O11" s="658" t="s">
        <v>1716</v>
      </c>
      <c r="P11" s="670">
        <f>COUNTIF('活動記録（多面的機能支払交付金の様式）'!$H$9:$M$28,【選択肢】!K11)</f>
        <v>0</v>
      </c>
      <c r="R11" s="676" t="s">
        <v>1717</v>
      </c>
      <c r="S11" s="677"/>
      <c r="T11" s="678"/>
    </row>
    <row r="12" spans="1:20" ht="18" customHeight="1" x14ac:dyDescent="0.15">
      <c r="H12" s="662" t="s">
        <v>1718</v>
      </c>
      <c r="K12" s="657">
        <v>7</v>
      </c>
      <c r="L12" s="658" t="s">
        <v>1694</v>
      </c>
      <c r="M12" s="658" t="s">
        <v>1418</v>
      </c>
      <c r="N12" s="658" t="s">
        <v>0</v>
      </c>
      <c r="O12" s="658" t="s">
        <v>1719</v>
      </c>
      <c r="P12" s="670">
        <f>COUNTIF('活動記録（多面的機能支払交付金の様式）'!$H$9:$M$28,【選択肢】!K12)</f>
        <v>0</v>
      </c>
      <c r="R12" s="679" t="s">
        <v>1720</v>
      </c>
      <c r="S12" s="680"/>
      <c r="T12" s="681"/>
    </row>
    <row r="13" spans="1:20" ht="18" customHeight="1" x14ac:dyDescent="0.15">
      <c r="H13" s="662" t="s">
        <v>1721</v>
      </c>
      <c r="K13" s="657">
        <v>8</v>
      </c>
      <c r="L13" s="658" t="s">
        <v>1694</v>
      </c>
      <c r="M13" s="658" t="s">
        <v>1418</v>
      </c>
      <c r="N13" s="658" t="s">
        <v>0</v>
      </c>
      <c r="O13" s="658" t="s">
        <v>1722</v>
      </c>
      <c r="P13" s="670">
        <f>COUNTIF('活動記録（多面的機能支払交付金の様式）'!$H$9:$M$28,【選択肢】!K13)</f>
        <v>0</v>
      </c>
      <c r="R13" s="679" t="s">
        <v>1723</v>
      </c>
      <c r="S13" s="680"/>
      <c r="T13" s="681"/>
    </row>
    <row r="14" spans="1:20" ht="18" customHeight="1" x14ac:dyDescent="0.15">
      <c r="H14" s="662" t="s">
        <v>1724</v>
      </c>
      <c r="K14" s="657">
        <v>9</v>
      </c>
      <c r="L14" s="658" t="s">
        <v>1694</v>
      </c>
      <c r="M14" s="658" t="s">
        <v>1418</v>
      </c>
      <c r="N14" s="658" t="s">
        <v>0</v>
      </c>
      <c r="O14" s="658" t="s">
        <v>1725</v>
      </c>
      <c r="P14" s="670">
        <f>COUNTIF('活動記録（多面的機能支払交付金の様式）'!$H$9:$M$28,【選択肢】!K14)</f>
        <v>0</v>
      </c>
      <c r="R14" s="679" t="s">
        <v>1726</v>
      </c>
      <c r="S14" s="680"/>
      <c r="T14" s="681"/>
    </row>
    <row r="15" spans="1:20" ht="18" customHeight="1" x14ac:dyDescent="0.15">
      <c r="H15" s="666" t="s">
        <v>1727</v>
      </c>
      <c r="K15" s="657">
        <v>10</v>
      </c>
      <c r="L15" s="658" t="s">
        <v>1694</v>
      </c>
      <c r="M15" s="658" t="s">
        <v>1418</v>
      </c>
      <c r="N15" s="658" t="s">
        <v>1</v>
      </c>
      <c r="O15" s="658" t="s">
        <v>1728</v>
      </c>
      <c r="P15" s="670">
        <f>COUNTIF('活動記録（多面的機能支払交付金の様式）'!$H$9:$M$28,【選択肢】!K15)</f>
        <v>0</v>
      </c>
      <c r="R15" s="679" t="s">
        <v>1729</v>
      </c>
      <c r="S15" s="680"/>
      <c r="T15" s="681"/>
    </row>
    <row r="16" spans="1:20" ht="18" customHeight="1" x14ac:dyDescent="0.15">
      <c r="K16" s="657">
        <v>11</v>
      </c>
      <c r="L16" s="658" t="s">
        <v>1694</v>
      </c>
      <c r="M16" s="658" t="s">
        <v>1418</v>
      </c>
      <c r="N16" s="658" t="s">
        <v>1</v>
      </c>
      <c r="O16" s="658" t="s">
        <v>1730</v>
      </c>
      <c r="P16" s="670">
        <f>COUNTIF('活動記録（多面的機能支払交付金の様式）'!$H$9:$M$28,【選択肢】!K16)</f>
        <v>0</v>
      </c>
      <c r="R16" s="682"/>
      <c r="S16" s="683"/>
      <c r="T16" s="684"/>
    </row>
    <row r="17" spans="11:20" ht="18" customHeight="1" x14ac:dyDescent="0.15">
      <c r="K17" s="657">
        <v>12</v>
      </c>
      <c r="L17" s="658" t="s">
        <v>1694</v>
      </c>
      <c r="M17" s="658" t="s">
        <v>1418</v>
      </c>
      <c r="N17" s="658" t="s">
        <v>1</v>
      </c>
      <c r="O17" s="658" t="s">
        <v>1731</v>
      </c>
      <c r="P17" s="670">
        <f>COUNTIF('活動記録（多面的機能支払交付金の様式）'!$H$9:$M$28,【選択肢】!K17)</f>
        <v>0</v>
      </c>
      <c r="R17" s="682" t="s">
        <v>1732</v>
      </c>
      <c r="S17" s="672"/>
      <c r="T17" s="673"/>
    </row>
    <row r="18" spans="11:20" ht="18" customHeight="1" x14ac:dyDescent="0.15">
      <c r="K18" s="657">
        <v>13</v>
      </c>
      <c r="L18" s="658" t="s">
        <v>1694</v>
      </c>
      <c r="M18" s="658" t="s">
        <v>1418</v>
      </c>
      <c r="N18" s="658" t="s">
        <v>2</v>
      </c>
      <c r="O18" s="658" t="s">
        <v>1733</v>
      </c>
      <c r="P18" s="670">
        <f>COUNTIF('活動記録（多面的機能支払交付金の様式）'!$H$9:$M$28,【選択肢】!K18)</f>
        <v>0</v>
      </c>
      <c r="R18" s="676" t="s">
        <v>1734</v>
      </c>
      <c r="S18" s="683"/>
      <c r="T18" s="684"/>
    </row>
    <row r="19" spans="11:20" ht="18" customHeight="1" x14ac:dyDescent="0.15">
      <c r="K19" s="657">
        <v>14</v>
      </c>
      <c r="L19" s="658" t="s">
        <v>1694</v>
      </c>
      <c r="M19" s="658" t="s">
        <v>1418</v>
      </c>
      <c r="N19" s="658" t="s">
        <v>2</v>
      </c>
      <c r="O19" s="658" t="s">
        <v>1735</v>
      </c>
      <c r="P19" s="670">
        <f>COUNTIF('活動記録（多面的機能支払交付金の様式）'!$H$9:$M$28,【選択肢】!K19)</f>
        <v>0</v>
      </c>
      <c r="R19" s="679" t="s">
        <v>1736</v>
      </c>
      <c r="S19" s="683"/>
      <c r="T19" s="684"/>
    </row>
    <row r="20" spans="11:20" ht="18" customHeight="1" x14ac:dyDescent="0.15">
      <c r="K20" s="657">
        <v>15</v>
      </c>
      <c r="L20" s="658" t="s">
        <v>1694</v>
      </c>
      <c r="M20" s="658" t="s">
        <v>1418</v>
      </c>
      <c r="N20" s="658" t="s">
        <v>2</v>
      </c>
      <c r="O20" s="658" t="s">
        <v>1737</v>
      </c>
      <c r="P20" s="670">
        <f>COUNTIF('活動記録（多面的機能支払交付金の様式）'!$H$9:$M$28,【選択肢】!K20)</f>
        <v>0</v>
      </c>
      <c r="R20" s="679" t="s">
        <v>1738</v>
      </c>
      <c r="S20" s="683"/>
      <c r="T20" s="684"/>
    </row>
    <row r="21" spans="11:20" ht="18" customHeight="1" x14ac:dyDescent="0.15">
      <c r="K21" s="657">
        <v>16</v>
      </c>
      <c r="L21" s="658" t="s">
        <v>1694</v>
      </c>
      <c r="M21" s="658" t="s">
        <v>1418</v>
      </c>
      <c r="N21" s="658" t="s">
        <v>1453</v>
      </c>
      <c r="O21" s="658" t="s">
        <v>1739</v>
      </c>
      <c r="P21" s="670">
        <f>COUNTIF('活動記録（多面的機能支払交付金の様式）'!$H$9:$M$28,【選択肢】!K21)</f>
        <v>0</v>
      </c>
      <c r="R21" s="679" t="s">
        <v>1740</v>
      </c>
      <c r="S21" s="683"/>
      <c r="T21" s="684"/>
    </row>
    <row r="22" spans="11:20" ht="18" customHeight="1" x14ac:dyDescent="0.15">
      <c r="K22" s="657">
        <v>17</v>
      </c>
      <c r="L22" s="658" t="s">
        <v>1694</v>
      </c>
      <c r="M22" s="658" t="s">
        <v>1741</v>
      </c>
      <c r="N22" s="658" t="s">
        <v>1741</v>
      </c>
      <c r="O22" s="658" t="s">
        <v>1742</v>
      </c>
      <c r="P22" s="670">
        <f>COUNTIF('活動記録（多面的機能支払交付金の様式）'!$H$9:$M$28,【選択肢】!K22)</f>
        <v>0</v>
      </c>
      <c r="R22" s="679" t="s">
        <v>1743</v>
      </c>
      <c r="S22" s="683"/>
      <c r="T22" s="684"/>
    </row>
    <row r="23" spans="11:20" ht="18" customHeight="1" x14ac:dyDescent="0.15">
      <c r="K23" s="657">
        <v>18</v>
      </c>
      <c r="L23" s="658" t="s">
        <v>1694</v>
      </c>
      <c r="M23" s="658" t="s">
        <v>1741</v>
      </c>
      <c r="N23" s="658" t="s">
        <v>1741</v>
      </c>
      <c r="O23" s="658" t="s">
        <v>1744</v>
      </c>
      <c r="P23" s="670">
        <f>COUNTIF('活動記録（多面的機能支払交付金の様式）'!$H$9:$M$28,【選択肢】!K23)</f>
        <v>0</v>
      </c>
      <c r="R23" s="679" t="s">
        <v>1745</v>
      </c>
      <c r="S23" s="683"/>
      <c r="T23" s="684"/>
    </row>
    <row r="24" spans="11:20" ht="18" customHeight="1" x14ac:dyDescent="0.15">
      <c r="K24" s="657">
        <v>19</v>
      </c>
      <c r="L24" s="658" t="s">
        <v>1694</v>
      </c>
      <c r="M24" s="658" t="s">
        <v>1741</v>
      </c>
      <c r="N24" s="658" t="s">
        <v>1741</v>
      </c>
      <c r="O24" s="658" t="s">
        <v>1746</v>
      </c>
      <c r="P24" s="670">
        <f>COUNTIF('活動記録（多面的機能支払交付金の様式）'!$H$9:$M$28,【選択肢】!K24)</f>
        <v>0</v>
      </c>
      <c r="R24" s="679" t="s">
        <v>1747</v>
      </c>
      <c r="S24" s="683"/>
      <c r="T24" s="684"/>
    </row>
    <row r="25" spans="11:20" ht="18" customHeight="1" x14ac:dyDescent="0.15">
      <c r="K25" s="657">
        <v>20</v>
      </c>
      <c r="L25" s="658" t="s">
        <v>1694</v>
      </c>
      <c r="M25" s="658" t="s">
        <v>1741</v>
      </c>
      <c r="N25" s="658" t="s">
        <v>1741</v>
      </c>
      <c r="O25" s="658" t="s">
        <v>1748</v>
      </c>
      <c r="P25" s="670">
        <f>COUNTIF('活動記録（多面的機能支払交付金の様式）'!$H$9:$M$28,【選択肢】!K25)</f>
        <v>0</v>
      </c>
      <c r="R25" s="679"/>
      <c r="S25" s="683"/>
      <c r="T25" s="684"/>
    </row>
    <row r="26" spans="11:20" ht="18" customHeight="1" x14ac:dyDescent="0.15">
      <c r="K26" s="657">
        <v>21</v>
      </c>
      <c r="L26" s="658" t="s">
        <v>1694</v>
      </c>
      <c r="M26" s="658" t="s">
        <v>1741</v>
      </c>
      <c r="N26" s="658" t="s">
        <v>1741</v>
      </c>
      <c r="O26" s="658" t="s">
        <v>1749</v>
      </c>
      <c r="P26" s="670">
        <f>COUNTIF('活動記録（多面的機能支払交付金の様式）'!$H$9:$M$28,【選択肢】!K26)</f>
        <v>0</v>
      </c>
      <c r="R26" s="676" t="s">
        <v>1750</v>
      </c>
      <c r="S26" s="683"/>
      <c r="T26" s="684"/>
    </row>
    <row r="27" spans="11:20" ht="18" customHeight="1" x14ac:dyDescent="0.15">
      <c r="K27" s="657">
        <v>22</v>
      </c>
      <c r="L27" s="658" t="s">
        <v>1694</v>
      </c>
      <c r="M27" s="658" t="s">
        <v>1741</v>
      </c>
      <c r="N27" s="658" t="s">
        <v>1741</v>
      </c>
      <c r="O27" s="658" t="s">
        <v>1751</v>
      </c>
      <c r="P27" s="670">
        <f>COUNTIF('活動記録（多面的機能支払交付金の様式）'!$H$9:$M$28,【選択肢】!K27)</f>
        <v>0</v>
      </c>
      <c r="R27" s="679" t="s">
        <v>1752</v>
      </c>
      <c r="S27" s="683"/>
      <c r="T27" s="684"/>
    </row>
    <row r="28" spans="11:20" ht="18" customHeight="1" x14ac:dyDescent="0.15">
      <c r="K28" s="657">
        <v>23</v>
      </c>
      <c r="L28" s="658" t="s">
        <v>1694</v>
      </c>
      <c r="M28" s="658" t="s">
        <v>1741</v>
      </c>
      <c r="N28" s="658" t="s">
        <v>1741</v>
      </c>
      <c r="O28" s="658" t="s">
        <v>1753</v>
      </c>
      <c r="P28" s="670">
        <f>COUNTIF('活動記録（多面的機能支払交付金の様式）'!$H$9:$M$28,【選択肢】!K28)</f>
        <v>0</v>
      </c>
      <c r="R28" s="679" t="s">
        <v>1754</v>
      </c>
      <c r="S28" s="683"/>
      <c r="T28" s="684"/>
    </row>
    <row r="29" spans="11:20" ht="18" customHeight="1" x14ac:dyDescent="0.15">
      <c r="K29" s="657">
        <v>24</v>
      </c>
      <c r="L29" s="658" t="s">
        <v>1755</v>
      </c>
      <c r="M29" s="658" t="s">
        <v>1756</v>
      </c>
      <c r="N29" s="658" t="s">
        <v>1757</v>
      </c>
      <c r="O29" s="658" t="s">
        <v>1758</v>
      </c>
      <c r="P29" s="670">
        <f>COUNTIF('活動記録（多面的機能支払交付金の様式）'!$H$9:$M$28,【選択肢】!K29)</f>
        <v>0</v>
      </c>
      <c r="R29" s="671"/>
      <c r="S29" s="672"/>
      <c r="T29" s="673"/>
    </row>
    <row r="30" spans="11:20" ht="18" customHeight="1" x14ac:dyDescent="0.15">
      <c r="K30" s="657">
        <v>25</v>
      </c>
      <c r="L30" s="658" t="s">
        <v>1755</v>
      </c>
      <c r="M30" s="658" t="s">
        <v>1756</v>
      </c>
      <c r="N30" s="658" t="s">
        <v>1757</v>
      </c>
      <c r="O30" s="658" t="s">
        <v>1759</v>
      </c>
      <c r="P30" s="670">
        <f>COUNTIF('活動記録（多面的機能支払交付金の様式）'!$H$9:$M$28,【選択肢】!K30)</f>
        <v>0</v>
      </c>
      <c r="R30" s="682" t="s">
        <v>1760</v>
      </c>
      <c r="S30" s="683"/>
      <c r="T30" s="684"/>
    </row>
    <row r="31" spans="11:20" ht="18" customHeight="1" x14ac:dyDescent="0.15">
      <c r="K31" s="657">
        <v>26</v>
      </c>
      <c r="L31" s="658" t="s">
        <v>1755</v>
      </c>
      <c r="M31" s="658" t="s">
        <v>1756</v>
      </c>
      <c r="N31" s="658" t="s">
        <v>1757</v>
      </c>
      <c r="O31" s="658" t="s">
        <v>1761</v>
      </c>
      <c r="P31" s="670">
        <f>COUNTIF('活動記録（多面的機能支払交付金の様式）'!$H$9:$M$28,【選択肢】!K31)</f>
        <v>0</v>
      </c>
      <c r="R31" s="2174" t="s">
        <v>1762</v>
      </c>
      <c r="S31" s="2175"/>
      <c r="T31" s="2176"/>
    </row>
    <row r="32" spans="11:20" ht="18" customHeight="1" x14ac:dyDescent="0.15">
      <c r="K32" s="657">
        <v>27</v>
      </c>
      <c r="L32" s="658" t="s">
        <v>1755</v>
      </c>
      <c r="M32" s="658" t="s">
        <v>1756</v>
      </c>
      <c r="N32" s="658" t="s">
        <v>1757</v>
      </c>
      <c r="O32" s="658" t="s">
        <v>1763</v>
      </c>
      <c r="P32" s="670">
        <f>COUNTIF('活動記録（多面的機能支払交付金の様式）'!$H$9:$M$28,【選択肢】!K32)</f>
        <v>0</v>
      </c>
      <c r="R32" s="679" t="s">
        <v>1764</v>
      </c>
      <c r="S32" s="683"/>
      <c r="T32" s="684"/>
    </row>
    <row r="33" spans="11:20" ht="18" customHeight="1" x14ac:dyDescent="0.15">
      <c r="K33" s="657">
        <v>28</v>
      </c>
      <c r="L33" s="658" t="s">
        <v>1755</v>
      </c>
      <c r="M33" s="658" t="s">
        <v>1756</v>
      </c>
      <c r="N33" s="658" t="s">
        <v>1413</v>
      </c>
      <c r="O33" s="658" t="s">
        <v>1765</v>
      </c>
      <c r="P33" s="670">
        <f>COUNTIF('活動記録（多面的機能支払交付金の様式）'!$H$9:$M$28,【選択肢】!K33)</f>
        <v>0</v>
      </c>
      <c r="R33" s="679" t="s">
        <v>1766</v>
      </c>
      <c r="S33" s="683"/>
      <c r="T33" s="684"/>
    </row>
    <row r="34" spans="11:20" ht="18" customHeight="1" x14ac:dyDescent="0.15">
      <c r="K34" s="657">
        <v>29</v>
      </c>
      <c r="L34" s="658" t="s">
        <v>1755</v>
      </c>
      <c r="M34" s="658" t="s">
        <v>1767</v>
      </c>
      <c r="N34" s="658" t="s">
        <v>1415</v>
      </c>
      <c r="O34" s="658" t="s">
        <v>1768</v>
      </c>
      <c r="P34" s="670">
        <f>COUNTIF('活動記録（多面的機能支払交付金の様式）'!$H$9:$M$28,【選択肢】!K34)</f>
        <v>0</v>
      </c>
      <c r="R34" s="685" t="s">
        <v>1729</v>
      </c>
      <c r="S34" s="686"/>
      <c r="T34" s="687"/>
    </row>
    <row r="35" spans="11:20" ht="18" customHeight="1" x14ac:dyDescent="0.15">
      <c r="K35" s="657">
        <v>30</v>
      </c>
      <c r="L35" s="658" t="s">
        <v>1755</v>
      </c>
      <c r="M35" s="658" t="s">
        <v>1418</v>
      </c>
      <c r="N35" s="658" t="s">
        <v>1494</v>
      </c>
      <c r="O35" s="658" t="s">
        <v>1769</v>
      </c>
      <c r="P35" s="670">
        <f>COUNTIF('活動記録（多面的機能支払交付金の様式）'!$H$9:$M$28,【選択肢】!K35)</f>
        <v>0</v>
      </c>
    </row>
    <row r="36" spans="11:20" ht="18" customHeight="1" x14ac:dyDescent="0.15">
      <c r="K36" s="657">
        <v>31</v>
      </c>
      <c r="L36" s="658" t="s">
        <v>1755</v>
      </c>
      <c r="M36" s="658" t="s">
        <v>1418</v>
      </c>
      <c r="N36" s="658" t="s">
        <v>0</v>
      </c>
      <c r="O36" s="658" t="s">
        <v>1770</v>
      </c>
      <c r="P36" s="670">
        <f>COUNTIF('活動記録（多面的機能支払交付金の様式）'!$H$9:$M$28,【選択肢】!K36)</f>
        <v>0</v>
      </c>
    </row>
    <row r="37" spans="11:20" ht="18" customHeight="1" x14ac:dyDescent="0.15">
      <c r="K37" s="657">
        <v>32</v>
      </c>
      <c r="L37" s="658" t="s">
        <v>1755</v>
      </c>
      <c r="M37" s="658" t="s">
        <v>1418</v>
      </c>
      <c r="N37" s="658" t="s">
        <v>1</v>
      </c>
      <c r="O37" s="658" t="s">
        <v>1771</v>
      </c>
      <c r="P37" s="670">
        <f>COUNTIF('活動記録（多面的機能支払交付金の様式）'!$H$9:$M$28,【選択肢】!K37)</f>
        <v>0</v>
      </c>
    </row>
    <row r="38" spans="11:20" ht="18" customHeight="1" x14ac:dyDescent="0.15">
      <c r="K38" s="657">
        <v>33</v>
      </c>
      <c r="L38" s="658" t="s">
        <v>1755</v>
      </c>
      <c r="M38" s="658" t="s">
        <v>1418</v>
      </c>
      <c r="N38" s="658" t="s">
        <v>2</v>
      </c>
      <c r="O38" s="658" t="s">
        <v>1772</v>
      </c>
      <c r="P38" s="670">
        <f>COUNTIF('活動記録（多面的機能支払交付金の様式）'!$H$9:$M$28,【選択肢】!K38)</f>
        <v>0</v>
      </c>
    </row>
    <row r="39" spans="11:20" ht="18" customHeight="1" x14ac:dyDescent="0.15">
      <c r="K39" s="657">
        <v>34</v>
      </c>
      <c r="L39" s="658" t="s">
        <v>1755</v>
      </c>
      <c r="M39" s="658" t="s">
        <v>1413</v>
      </c>
      <c r="N39" s="658" t="s">
        <v>1773</v>
      </c>
      <c r="O39" s="658" t="s">
        <v>1774</v>
      </c>
      <c r="P39" s="670">
        <f>COUNTIF('活動記録（多面的機能支払交付金の様式）'!$H$9:$M$28,【選択肢】!K39)</f>
        <v>0</v>
      </c>
    </row>
    <row r="40" spans="11:20" ht="18" customHeight="1" x14ac:dyDescent="0.15">
      <c r="K40" s="657">
        <v>35</v>
      </c>
      <c r="L40" s="658" t="s">
        <v>1755</v>
      </c>
      <c r="M40" s="658" t="s">
        <v>1413</v>
      </c>
      <c r="N40" s="658" t="s">
        <v>1567</v>
      </c>
      <c r="O40" s="658" t="s">
        <v>1775</v>
      </c>
      <c r="P40" s="670">
        <f>COUNTIF('活動記録（多面的機能支払交付金の様式）'!$H$9:$M$28,【選択肢】!K40)</f>
        <v>0</v>
      </c>
    </row>
    <row r="41" spans="11:20" ht="18" customHeight="1" x14ac:dyDescent="0.15">
      <c r="K41" s="657">
        <v>36</v>
      </c>
      <c r="L41" s="658" t="s">
        <v>1755</v>
      </c>
      <c r="M41" s="658" t="s">
        <v>1413</v>
      </c>
      <c r="N41" s="658" t="s">
        <v>1776</v>
      </c>
      <c r="O41" s="658" t="s">
        <v>1777</v>
      </c>
      <c r="P41" s="670">
        <f>COUNTIF('活動記録（多面的機能支払交付金の様式）'!$H$9:$M$28,【選択肢】!K41)</f>
        <v>0</v>
      </c>
    </row>
    <row r="42" spans="11:20" ht="18" customHeight="1" x14ac:dyDescent="0.15">
      <c r="K42" s="657">
        <v>37</v>
      </c>
      <c r="L42" s="658" t="s">
        <v>1755</v>
      </c>
      <c r="M42" s="658" t="s">
        <v>1413</v>
      </c>
      <c r="N42" s="658" t="s">
        <v>1778</v>
      </c>
      <c r="O42" s="658" t="s">
        <v>1779</v>
      </c>
      <c r="P42" s="670">
        <f>COUNTIF('活動記録（多面的機能支払交付金の様式）'!$H$9:$M$28,【選択肢】!K42)</f>
        <v>0</v>
      </c>
      <c r="Q42" s="688" t="s">
        <v>1780</v>
      </c>
    </row>
    <row r="43" spans="11:20" ht="18" customHeight="1" x14ac:dyDescent="0.15">
      <c r="K43" s="657">
        <v>38</v>
      </c>
      <c r="L43" s="658" t="s">
        <v>1755</v>
      </c>
      <c r="M43" s="658" t="s">
        <v>1413</v>
      </c>
      <c r="N43" s="658" t="s">
        <v>1781</v>
      </c>
      <c r="O43" s="689" t="s">
        <v>1782</v>
      </c>
      <c r="P43" s="670">
        <f>COUNTIF('活動記録（多面的機能支払交付金の様式）'!$H$9:$M$28,【選択肢】!K43)</f>
        <v>0</v>
      </c>
      <c r="Q43" s="690" t="s">
        <v>1783</v>
      </c>
      <c r="S43" s="691"/>
    </row>
    <row r="44" spans="11:20" ht="18" customHeight="1" x14ac:dyDescent="0.15">
      <c r="K44" s="657">
        <v>39</v>
      </c>
      <c r="L44" s="658" t="s">
        <v>1755</v>
      </c>
      <c r="M44" s="658" t="s">
        <v>1418</v>
      </c>
      <c r="N44" s="658" t="s">
        <v>1773</v>
      </c>
      <c r="O44" s="692" t="s">
        <v>1784</v>
      </c>
      <c r="P44" s="670">
        <f>COUNTIF('活動記録（多面的機能支払交付金の様式）'!$H$9:$M$28,【選択肢】!K44)</f>
        <v>0</v>
      </c>
      <c r="Q44" s="693" t="s">
        <v>1784</v>
      </c>
      <c r="R44" s="694"/>
    </row>
    <row r="45" spans="11:20" ht="18" customHeight="1" x14ac:dyDescent="0.15">
      <c r="K45" s="657">
        <v>40</v>
      </c>
      <c r="L45" s="658" t="s">
        <v>1755</v>
      </c>
      <c r="M45" s="658" t="s">
        <v>1418</v>
      </c>
      <c r="N45" s="658" t="s">
        <v>1773</v>
      </c>
      <c r="O45" s="692" t="s">
        <v>1785</v>
      </c>
      <c r="P45" s="670">
        <f>COUNTIF('活動記録（多面的機能支払交付金の様式）'!$H$9:$M$28,【選択肢】!K45)</f>
        <v>0</v>
      </c>
      <c r="Q45" s="693" t="s">
        <v>1785</v>
      </c>
      <c r="R45" s="694"/>
    </row>
    <row r="46" spans="11:20" ht="18" customHeight="1" x14ac:dyDescent="0.15">
      <c r="K46" s="657">
        <v>41</v>
      </c>
      <c r="L46" s="658" t="s">
        <v>1755</v>
      </c>
      <c r="M46" s="658" t="s">
        <v>1418</v>
      </c>
      <c r="N46" s="658" t="s">
        <v>1773</v>
      </c>
      <c r="O46" s="692" t="s">
        <v>1786</v>
      </c>
      <c r="P46" s="670">
        <f>COUNTIF('活動記録（多面的機能支払交付金の様式）'!$H$9:$M$28,【選択肢】!K46)</f>
        <v>0</v>
      </c>
      <c r="Q46" s="693" t="s">
        <v>1786</v>
      </c>
      <c r="R46" s="694"/>
    </row>
    <row r="47" spans="11:20" ht="18" customHeight="1" x14ac:dyDescent="0.15">
      <c r="K47" s="657">
        <v>42</v>
      </c>
      <c r="L47" s="658" t="s">
        <v>1755</v>
      </c>
      <c r="M47" s="658" t="s">
        <v>1418</v>
      </c>
      <c r="N47" s="658" t="s">
        <v>1567</v>
      </c>
      <c r="O47" s="692" t="s">
        <v>1787</v>
      </c>
      <c r="P47" s="670">
        <f>COUNTIF('活動記録（多面的機能支払交付金の様式）'!$H$9:$M$28,【選択肢】!K47)</f>
        <v>0</v>
      </c>
      <c r="Q47" s="693" t="s">
        <v>1787</v>
      </c>
      <c r="R47" s="694"/>
    </row>
    <row r="48" spans="11:20" ht="18" customHeight="1" x14ac:dyDescent="0.15">
      <c r="K48" s="657">
        <v>43</v>
      </c>
      <c r="L48" s="658" t="s">
        <v>1755</v>
      </c>
      <c r="M48" s="658" t="s">
        <v>1418</v>
      </c>
      <c r="N48" s="658" t="s">
        <v>1567</v>
      </c>
      <c r="O48" s="692" t="s">
        <v>1788</v>
      </c>
      <c r="P48" s="670">
        <f>COUNTIF('活動記録（多面的機能支払交付金の様式）'!$H$9:$M$28,【選択肢】!K48)</f>
        <v>0</v>
      </c>
      <c r="Q48" s="693" t="s">
        <v>1788</v>
      </c>
      <c r="R48" s="694"/>
    </row>
    <row r="49" spans="11:20" ht="18" customHeight="1" x14ac:dyDescent="0.15">
      <c r="K49" s="657">
        <v>44</v>
      </c>
      <c r="L49" s="658" t="s">
        <v>1755</v>
      </c>
      <c r="M49" s="658" t="s">
        <v>1418</v>
      </c>
      <c r="N49" s="658" t="s">
        <v>1567</v>
      </c>
      <c r="O49" s="692" t="s">
        <v>1789</v>
      </c>
      <c r="P49" s="670">
        <f>COUNTIF('活動記録（多面的機能支払交付金の様式）'!$H$9:$M$28,【選択肢】!K49)</f>
        <v>0</v>
      </c>
      <c r="Q49" s="693" t="s">
        <v>1789</v>
      </c>
      <c r="R49" s="694"/>
    </row>
    <row r="50" spans="11:20" ht="18" customHeight="1" x14ac:dyDescent="0.15">
      <c r="K50" s="657">
        <v>45</v>
      </c>
      <c r="L50" s="658" t="s">
        <v>1755</v>
      </c>
      <c r="M50" s="658" t="s">
        <v>1418</v>
      </c>
      <c r="N50" s="658" t="s">
        <v>1776</v>
      </c>
      <c r="O50" s="692" t="s">
        <v>1790</v>
      </c>
      <c r="P50" s="670">
        <f>COUNTIF('活動記録（多面的機能支払交付金の様式）'!$H$9:$M$28,【選択肢】!K50)</f>
        <v>0</v>
      </c>
      <c r="Q50" s="693" t="s">
        <v>1790</v>
      </c>
      <c r="R50" s="694"/>
    </row>
    <row r="51" spans="11:20" ht="18" customHeight="1" x14ac:dyDescent="0.15">
      <c r="K51" s="657">
        <v>46</v>
      </c>
      <c r="L51" s="658" t="s">
        <v>1755</v>
      </c>
      <c r="M51" s="658" t="s">
        <v>1418</v>
      </c>
      <c r="N51" s="658" t="s">
        <v>1776</v>
      </c>
      <c r="O51" s="692" t="s">
        <v>1791</v>
      </c>
      <c r="P51" s="670">
        <f>COUNTIF('活動記録（多面的機能支払交付金の様式）'!$H$9:$M$28,【選択肢】!K51)</f>
        <v>0</v>
      </c>
      <c r="Q51" s="693" t="s">
        <v>1791</v>
      </c>
      <c r="R51" s="694"/>
    </row>
    <row r="52" spans="11:20" ht="18" customHeight="1" x14ac:dyDescent="0.15">
      <c r="K52" s="657">
        <v>47</v>
      </c>
      <c r="L52" s="658" t="s">
        <v>1755</v>
      </c>
      <c r="M52" s="658" t="s">
        <v>1418</v>
      </c>
      <c r="N52" s="658" t="s">
        <v>1776</v>
      </c>
      <c r="O52" s="692" t="s">
        <v>1792</v>
      </c>
      <c r="P52" s="670">
        <f>COUNTIF('活動記録（多面的機能支払交付金の様式）'!$H$9:$M$28,【選択肢】!K52)</f>
        <v>0</v>
      </c>
      <c r="Q52" s="693" t="s">
        <v>1792</v>
      </c>
      <c r="R52" s="694"/>
    </row>
    <row r="53" spans="11:20" ht="18" customHeight="1" x14ac:dyDescent="0.15">
      <c r="K53" s="657">
        <v>48</v>
      </c>
      <c r="L53" s="658" t="s">
        <v>1755</v>
      </c>
      <c r="M53" s="658" t="s">
        <v>1418</v>
      </c>
      <c r="N53" s="658" t="s">
        <v>1778</v>
      </c>
      <c r="O53" s="692" t="s">
        <v>1793</v>
      </c>
      <c r="P53" s="670">
        <f>COUNTIF('活動記録（多面的機能支払交付金の様式）'!$H$9:$M$28,【選択肢】!K53)</f>
        <v>0</v>
      </c>
      <c r="Q53" s="693" t="s">
        <v>1793</v>
      </c>
      <c r="R53" s="694"/>
    </row>
    <row r="54" spans="11:20" ht="18" customHeight="1" x14ac:dyDescent="0.15">
      <c r="K54" s="657">
        <v>49</v>
      </c>
      <c r="L54" s="658" t="s">
        <v>1755</v>
      </c>
      <c r="M54" s="658" t="s">
        <v>1418</v>
      </c>
      <c r="N54" s="658" t="s">
        <v>1778</v>
      </c>
      <c r="O54" s="692" t="s">
        <v>1794</v>
      </c>
      <c r="P54" s="670">
        <f>COUNTIF('活動記録（多面的機能支払交付金の様式）'!$H$9:$M$28,【選択肢】!K54)</f>
        <v>0</v>
      </c>
      <c r="Q54" s="693" t="s">
        <v>1794</v>
      </c>
      <c r="R54" s="694"/>
    </row>
    <row r="55" spans="11:20" ht="18" customHeight="1" x14ac:dyDescent="0.15">
      <c r="K55" s="657">
        <v>50</v>
      </c>
      <c r="L55" s="658" t="s">
        <v>1755</v>
      </c>
      <c r="M55" s="658" t="s">
        <v>1418</v>
      </c>
      <c r="N55" s="658" t="s">
        <v>1781</v>
      </c>
      <c r="O55" s="692" t="s">
        <v>1795</v>
      </c>
      <c r="P55" s="670">
        <f>COUNTIF('活動記録（多面的機能支払交付金の様式）'!$H$9:$M$28,【選択肢】!K55)</f>
        <v>0</v>
      </c>
      <c r="Q55" s="693" t="s">
        <v>1795</v>
      </c>
      <c r="R55" s="695" t="s">
        <v>1780</v>
      </c>
    </row>
    <row r="56" spans="11:20" ht="18" customHeight="1" x14ac:dyDescent="0.15">
      <c r="K56" s="657">
        <v>51</v>
      </c>
      <c r="L56" s="658" t="s">
        <v>1755</v>
      </c>
      <c r="M56" s="658" t="s">
        <v>1596</v>
      </c>
      <c r="N56" s="658" t="s">
        <v>1596</v>
      </c>
      <c r="O56" s="696" t="s">
        <v>1796</v>
      </c>
      <c r="P56" s="670">
        <f>COUNTIF('活動記録（多面的機能支払交付金の様式）'!$H$9:$M$28,【選択肢】!K56)</f>
        <v>0</v>
      </c>
      <c r="Q56" s="697"/>
      <c r="R56" s="652" t="s">
        <v>1797</v>
      </c>
      <c r="S56" s="698"/>
      <c r="T56" s="691"/>
    </row>
    <row r="57" spans="11:20" ht="18" customHeight="1" x14ac:dyDescent="0.15">
      <c r="K57" s="657">
        <v>52</v>
      </c>
      <c r="L57" s="658" t="s">
        <v>1755</v>
      </c>
      <c r="M57" s="658" t="s">
        <v>1798</v>
      </c>
      <c r="N57" s="658" t="s">
        <v>1798</v>
      </c>
      <c r="O57" s="658" t="s">
        <v>1799</v>
      </c>
      <c r="P57" s="670">
        <f>COUNTIF('活動記録（多面的機能支払交付金の様式）'!$H$9:$M$28,【選択肢】!K57)</f>
        <v>0</v>
      </c>
      <c r="R57" s="699" t="s">
        <v>1800</v>
      </c>
      <c r="S57" s="700"/>
      <c r="T57" s="701"/>
    </row>
    <row r="58" spans="11:20" ht="18" customHeight="1" x14ac:dyDescent="0.15">
      <c r="K58" s="657">
        <v>53</v>
      </c>
      <c r="L58" s="658" t="s">
        <v>1755</v>
      </c>
      <c r="M58" s="658" t="s">
        <v>1798</v>
      </c>
      <c r="N58" s="658" t="s">
        <v>1798</v>
      </c>
      <c r="O58" s="658" t="s">
        <v>1801</v>
      </c>
      <c r="P58" s="670">
        <f>COUNTIF('活動記録（多面的機能支払交付金の様式）'!$H$9:$M$28,【選択肢】!K58)</f>
        <v>0</v>
      </c>
      <c r="R58" s="702" t="s">
        <v>1802</v>
      </c>
      <c r="S58" s="700"/>
      <c r="T58" s="701"/>
    </row>
    <row r="59" spans="11:20" ht="18" customHeight="1" x14ac:dyDescent="0.15">
      <c r="K59" s="657">
        <v>54</v>
      </c>
      <c r="L59" s="658" t="s">
        <v>1755</v>
      </c>
      <c r="M59" s="658" t="s">
        <v>1798</v>
      </c>
      <c r="N59" s="658" t="s">
        <v>1798</v>
      </c>
      <c r="O59" s="658" t="s">
        <v>1803</v>
      </c>
      <c r="P59" s="670">
        <f>COUNTIF('活動記録（多面的機能支払交付金の様式）'!$H$9:$M$28,【選択肢】!K59)</f>
        <v>0</v>
      </c>
      <c r="R59" s="702" t="s">
        <v>1804</v>
      </c>
      <c r="S59" s="700"/>
      <c r="T59" s="701"/>
    </row>
    <row r="60" spans="11:20" ht="18" customHeight="1" x14ac:dyDescent="0.15">
      <c r="K60" s="657">
        <v>55</v>
      </c>
      <c r="L60" s="658" t="s">
        <v>1755</v>
      </c>
      <c r="M60" s="658" t="s">
        <v>1798</v>
      </c>
      <c r="N60" s="658" t="s">
        <v>1798</v>
      </c>
      <c r="O60" s="658" t="s">
        <v>1805</v>
      </c>
      <c r="P60" s="670">
        <f>COUNTIF('活動記録（多面的機能支払交付金の様式）'!$H$9:$M$28,【選択肢】!K60)</f>
        <v>0</v>
      </c>
      <c r="R60" s="702" t="s">
        <v>1806</v>
      </c>
      <c r="S60" s="700"/>
      <c r="T60" s="701"/>
    </row>
    <row r="61" spans="11:20" ht="18" customHeight="1" x14ac:dyDescent="0.15">
      <c r="K61" s="657">
        <v>56</v>
      </c>
      <c r="L61" s="658" t="s">
        <v>1755</v>
      </c>
      <c r="M61" s="658" t="s">
        <v>1798</v>
      </c>
      <c r="N61" s="658" t="s">
        <v>1798</v>
      </c>
      <c r="O61" s="658" t="s">
        <v>1807</v>
      </c>
      <c r="P61" s="670">
        <f>COUNTIF('活動記録（多面的機能支払交付金の様式）'!$H$9:$M$28,【選択肢】!K61)</f>
        <v>0</v>
      </c>
      <c r="R61" s="702" t="s">
        <v>1808</v>
      </c>
      <c r="S61" s="700"/>
      <c r="T61" s="701"/>
    </row>
    <row r="62" spans="11:20" ht="18" customHeight="1" x14ac:dyDescent="0.15">
      <c r="K62" s="657">
        <v>57</v>
      </c>
      <c r="L62" s="658" t="s">
        <v>1755</v>
      </c>
      <c r="M62" s="658" t="s">
        <v>1798</v>
      </c>
      <c r="N62" s="658" t="s">
        <v>1798</v>
      </c>
      <c r="O62" s="658" t="s">
        <v>1809</v>
      </c>
      <c r="P62" s="670">
        <f>COUNTIF('活動記録（多面的機能支払交付金の様式）'!$H$9:$M$28,【選択肢】!K62)</f>
        <v>0</v>
      </c>
      <c r="R62" s="702" t="s">
        <v>1810</v>
      </c>
      <c r="S62" s="700"/>
      <c r="T62" s="701"/>
    </row>
    <row r="63" spans="11:20" ht="18" customHeight="1" x14ac:dyDescent="0.15">
      <c r="K63" s="657">
        <v>58</v>
      </c>
      <c r="L63" s="658" t="s">
        <v>1755</v>
      </c>
      <c r="M63" s="658" t="s">
        <v>1798</v>
      </c>
      <c r="N63" s="658" t="s">
        <v>1798</v>
      </c>
      <c r="O63" s="658" t="s">
        <v>1811</v>
      </c>
      <c r="P63" s="670">
        <f>COUNTIF('活動記録（多面的機能支払交付金の様式）'!$H$9:$M$28,【選択肢】!K63)</f>
        <v>0</v>
      </c>
      <c r="R63" s="702" t="s">
        <v>1812</v>
      </c>
      <c r="S63" s="700"/>
      <c r="T63" s="701"/>
    </row>
    <row r="64" spans="11:20" ht="18" customHeight="1" x14ac:dyDescent="0.15">
      <c r="K64" s="657">
        <v>59</v>
      </c>
      <c r="L64" s="658" t="s">
        <v>1755</v>
      </c>
      <c r="M64" s="658" t="s">
        <v>1798</v>
      </c>
      <c r="N64" s="658" t="s">
        <v>1798</v>
      </c>
      <c r="O64" s="658" t="s">
        <v>1813</v>
      </c>
      <c r="P64" s="670">
        <f>COUNTIF('活動記録（多面的機能支払交付金の様式）'!$H$9:$M$28,【選択肢】!K64)</f>
        <v>0</v>
      </c>
      <c r="R64" s="703" t="s">
        <v>1814</v>
      </c>
      <c r="S64" s="695" t="s">
        <v>1780</v>
      </c>
      <c r="T64" s="701"/>
    </row>
    <row r="65" spans="11:20" ht="18" customHeight="1" x14ac:dyDescent="0.15">
      <c r="K65" s="657">
        <v>60</v>
      </c>
      <c r="L65" s="658" t="s">
        <v>1755</v>
      </c>
      <c r="M65" s="658" t="s">
        <v>1798</v>
      </c>
      <c r="N65" s="658" t="s">
        <v>1798</v>
      </c>
      <c r="O65" s="658" t="s">
        <v>1815</v>
      </c>
      <c r="P65" s="670">
        <f>COUNTIF('活動記録（多面的機能支払交付金の様式）'!$H$9:$M$28,【選択肢】!K65)</f>
        <v>0</v>
      </c>
      <c r="R65" s="704"/>
      <c r="S65" s="652" t="s">
        <v>1816</v>
      </c>
      <c r="T65" s="698"/>
    </row>
    <row r="66" spans="11:20" ht="18" customHeight="1" x14ac:dyDescent="0.15">
      <c r="K66" s="657">
        <v>61</v>
      </c>
      <c r="L66" s="658" t="s">
        <v>1817</v>
      </c>
      <c r="M66" s="658" t="s">
        <v>1418</v>
      </c>
      <c r="N66" s="658" t="s">
        <v>0</v>
      </c>
      <c r="O66" s="658" t="s">
        <v>1818</v>
      </c>
      <c r="P66" s="670">
        <f>COUNTIF('活動記録（多面的機能支払交付金の様式）'!$H$9:$M$28,【選択肢】!K66)</f>
        <v>0</v>
      </c>
      <c r="S66" s="699" t="s">
        <v>1819</v>
      </c>
      <c r="T66" s="700"/>
    </row>
    <row r="67" spans="11:20" ht="18" customHeight="1" x14ac:dyDescent="0.15">
      <c r="K67" s="657">
        <v>62</v>
      </c>
      <c r="L67" s="658" t="s">
        <v>1817</v>
      </c>
      <c r="M67" s="658" t="s">
        <v>1418</v>
      </c>
      <c r="N67" s="658" t="s">
        <v>0</v>
      </c>
      <c r="O67" s="658" t="s">
        <v>1820</v>
      </c>
      <c r="P67" s="670">
        <f>COUNTIF('活動記録（多面的機能支払交付金の様式）'!$H$9:$M$28,【選択肢】!K67)</f>
        <v>0</v>
      </c>
      <c r="S67" s="702" t="s">
        <v>1821</v>
      </c>
      <c r="T67" s="700"/>
    </row>
    <row r="68" spans="11:20" ht="18" customHeight="1" x14ac:dyDescent="0.15">
      <c r="K68" s="657">
        <v>63</v>
      </c>
      <c r="L68" s="658" t="s">
        <v>1817</v>
      </c>
      <c r="M68" s="658" t="s">
        <v>1418</v>
      </c>
      <c r="N68" s="658" t="s">
        <v>1</v>
      </c>
      <c r="O68" s="658" t="s">
        <v>1822</v>
      </c>
      <c r="P68" s="670">
        <f>COUNTIF('活動記録（多面的機能支払交付金の様式）'!$H$9:$M$28,【選択肢】!K68)</f>
        <v>0</v>
      </c>
      <c r="S68" s="702" t="s">
        <v>1823</v>
      </c>
      <c r="T68" s="700"/>
    </row>
    <row r="69" spans="11:20" ht="18" customHeight="1" x14ac:dyDescent="0.15">
      <c r="K69" s="657">
        <v>64</v>
      </c>
      <c r="L69" s="658" t="s">
        <v>1817</v>
      </c>
      <c r="M69" s="658" t="s">
        <v>1418</v>
      </c>
      <c r="N69" s="658" t="s">
        <v>1</v>
      </c>
      <c r="O69" s="658" t="s">
        <v>1824</v>
      </c>
      <c r="P69" s="670">
        <f>COUNTIF('活動記録（多面的機能支払交付金の様式）'!$H$9:$M$28,【選択肢】!K69)</f>
        <v>0</v>
      </c>
      <c r="S69" s="702" t="s">
        <v>1825</v>
      </c>
      <c r="T69" s="700"/>
    </row>
    <row r="70" spans="11:20" ht="18" customHeight="1" x14ac:dyDescent="0.15">
      <c r="K70" s="657">
        <v>65</v>
      </c>
      <c r="L70" s="658" t="s">
        <v>1817</v>
      </c>
      <c r="M70" s="658" t="s">
        <v>1418</v>
      </c>
      <c r="N70" s="658" t="s">
        <v>2</v>
      </c>
      <c r="O70" s="658" t="s">
        <v>1826</v>
      </c>
      <c r="P70" s="670">
        <f>COUNTIF('活動記録（多面的機能支払交付金の様式）'!$H$9:$M$28,【選択肢】!K70)</f>
        <v>0</v>
      </c>
      <c r="S70" s="702" t="s">
        <v>1827</v>
      </c>
      <c r="T70" s="700"/>
    </row>
    <row r="71" spans="11:20" ht="18" customHeight="1" x14ac:dyDescent="0.15">
      <c r="K71" s="705">
        <v>66</v>
      </c>
      <c r="L71" s="689" t="s">
        <v>1817</v>
      </c>
      <c r="M71" s="689" t="s">
        <v>1418</v>
      </c>
      <c r="N71" s="689" t="s">
        <v>2</v>
      </c>
      <c r="O71" s="689" t="s">
        <v>1828</v>
      </c>
      <c r="P71" s="670">
        <f>COUNTIF('活動記録（多面的機能支払交付金の様式）'!$H$9:$M$28,【選択肢】!K71)</f>
        <v>0</v>
      </c>
      <c r="S71" s="703" t="s">
        <v>1829</v>
      </c>
      <c r="T71" s="700"/>
    </row>
    <row r="72" spans="11:20" x14ac:dyDescent="0.15">
      <c r="K72" s="706">
        <v>67</v>
      </c>
      <c r="L72" s="706" t="s">
        <v>2281</v>
      </c>
      <c r="M72" s="706" t="s">
        <v>1472</v>
      </c>
      <c r="N72" s="706" t="s">
        <v>1472</v>
      </c>
      <c r="O72" s="706" t="s">
        <v>2282</v>
      </c>
      <c r="P72" s="706">
        <f>COUNTIF('活動記録（多面的機能支払交付金の様式）'!$H$9:$M$28,【選択肢】!K72)</f>
        <v>0</v>
      </c>
      <c r="S72" s="704"/>
    </row>
    <row r="73" spans="11:20" x14ac:dyDescent="0.15">
      <c r="K73" s="707">
        <v>68</v>
      </c>
      <c r="L73" s="706" t="s">
        <v>2281</v>
      </c>
      <c r="M73" s="707" t="s">
        <v>1472</v>
      </c>
      <c r="N73" s="707" t="s">
        <v>1472</v>
      </c>
      <c r="O73" s="707" t="s">
        <v>2283</v>
      </c>
      <c r="P73" s="706">
        <f>COUNTIF('活動記録（多面的機能支払交付金の様式）'!$H$9:$M$28,【選択肢】!K73)</f>
        <v>0</v>
      </c>
    </row>
    <row r="74" spans="11:20" x14ac:dyDescent="0.15">
      <c r="K74" s="707">
        <v>69</v>
      </c>
      <c r="L74" s="706" t="s">
        <v>2281</v>
      </c>
      <c r="M74" s="706" t="s">
        <v>1472</v>
      </c>
      <c r="N74" s="706" t="s">
        <v>1472</v>
      </c>
      <c r="O74" s="707" t="s">
        <v>2284</v>
      </c>
      <c r="P74" s="706">
        <f>COUNTIF('活動記録（多面的機能支払交付金の様式）'!$H$9:$M$28,【選択肢】!K74)</f>
        <v>0</v>
      </c>
    </row>
    <row r="75" spans="11:20" x14ac:dyDescent="0.15">
      <c r="K75" s="707">
        <v>70</v>
      </c>
      <c r="L75" s="706" t="s">
        <v>2281</v>
      </c>
      <c r="M75" s="707" t="s">
        <v>1472</v>
      </c>
      <c r="N75" s="707" t="s">
        <v>1472</v>
      </c>
      <c r="O75" s="707" t="s">
        <v>2285</v>
      </c>
      <c r="P75" s="706">
        <f>COUNTIF('活動記録（多面的機能支払交付金の様式）'!$H$9:$M$28,【選択肢】!K75)</f>
        <v>0</v>
      </c>
    </row>
    <row r="76" spans="11:20" x14ac:dyDescent="0.15">
      <c r="K76" s="707">
        <v>71</v>
      </c>
      <c r="L76" s="706" t="s">
        <v>2281</v>
      </c>
      <c r="M76" s="706" t="s">
        <v>1472</v>
      </c>
      <c r="N76" s="706" t="s">
        <v>1472</v>
      </c>
      <c r="O76" s="707" t="s">
        <v>2286</v>
      </c>
      <c r="P76" s="706">
        <f>COUNTIF('活動記録（多面的機能支払交付金の様式）'!$H$9:$M$28,【選択肢】!K76)</f>
        <v>0</v>
      </c>
    </row>
    <row r="77" spans="11:20" x14ac:dyDescent="0.15">
      <c r="K77" s="707">
        <v>72</v>
      </c>
      <c r="L77" s="706" t="s">
        <v>2281</v>
      </c>
      <c r="M77" s="707" t="s">
        <v>1472</v>
      </c>
      <c r="N77" s="707" t="s">
        <v>1472</v>
      </c>
      <c r="O77" s="707" t="s">
        <v>2287</v>
      </c>
      <c r="P77" s="706">
        <f>COUNTIF('活動記録（多面的機能支払交付金の様式）'!$H$9:$M$28,【選択肢】!K77)</f>
        <v>0</v>
      </c>
    </row>
    <row r="78" spans="11:20" x14ac:dyDescent="0.15">
      <c r="K78" s="707">
        <v>73</v>
      </c>
      <c r="L78" s="706" t="s">
        <v>2281</v>
      </c>
      <c r="M78" s="706" t="s">
        <v>1472</v>
      </c>
      <c r="N78" s="706" t="s">
        <v>1472</v>
      </c>
      <c r="O78" s="707" t="s">
        <v>2288</v>
      </c>
      <c r="P78" s="706">
        <f>COUNTIF('活動記録（多面的機能支払交付金の様式）'!$H$9:$M$28,【選択肢】!K78)</f>
        <v>0</v>
      </c>
    </row>
    <row r="79" spans="11:20" x14ac:dyDescent="0.15">
      <c r="K79" s="707">
        <v>74</v>
      </c>
      <c r="L79" s="706" t="s">
        <v>2281</v>
      </c>
      <c r="M79" s="707" t="s">
        <v>1472</v>
      </c>
      <c r="N79" s="707" t="s">
        <v>1472</v>
      </c>
      <c r="O79" s="707" t="s">
        <v>2289</v>
      </c>
      <c r="P79" s="706">
        <f>COUNTIF('活動記録（多面的機能支払交付金の様式）'!$H$9:$M$28,【選択肢】!K79)</f>
        <v>0</v>
      </c>
    </row>
    <row r="80" spans="11:20" x14ac:dyDescent="0.15">
      <c r="K80" s="707">
        <v>75</v>
      </c>
      <c r="L80" s="706" t="s">
        <v>2281</v>
      </c>
      <c r="M80" s="706" t="s">
        <v>1472</v>
      </c>
      <c r="N80" s="706" t="s">
        <v>1472</v>
      </c>
      <c r="O80" s="707" t="s">
        <v>2290</v>
      </c>
      <c r="P80" s="706">
        <f>COUNTIF('活動記録（多面的機能支払交付金の様式）'!$H$9:$M$28,【選択肢】!K80)</f>
        <v>0</v>
      </c>
    </row>
    <row r="81" spans="11:16" x14ac:dyDescent="0.15">
      <c r="K81" s="707">
        <v>76</v>
      </c>
      <c r="L81" s="706" t="s">
        <v>2281</v>
      </c>
      <c r="M81" s="707" t="s">
        <v>1472</v>
      </c>
      <c r="N81" s="707" t="s">
        <v>1472</v>
      </c>
      <c r="O81" s="707" t="s">
        <v>2291</v>
      </c>
      <c r="P81" s="706">
        <f>COUNTIF('活動記録（多面的機能支払交付金の様式）'!$H$9:$M$28,【選択肢】!K81)</f>
        <v>0</v>
      </c>
    </row>
    <row r="82" spans="11:16" x14ac:dyDescent="0.15">
      <c r="K82" s="707">
        <v>77</v>
      </c>
      <c r="L82" s="706" t="s">
        <v>2281</v>
      </c>
      <c r="M82" s="706" t="s">
        <v>1472</v>
      </c>
      <c r="N82" s="706" t="s">
        <v>1472</v>
      </c>
      <c r="O82" s="707" t="s">
        <v>2292</v>
      </c>
      <c r="P82" s="706">
        <f>COUNTIF('活動記録（多面的機能支払交付金の様式）'!$H$9:$M$28,【選択肢】!K82)</f>
        <v>0</v>
      </c>
    </row>
    <row r="83" spans="11:16" x14ac:dyDescent="0.15">
      <c r="K83" s="707">
        <v>78</v>
      </c>
      <c r="L83" s="706" t="s">
        <v>2281</v>
      </c>
      <c r="M83" s="707" t="s">
        <v>1472</v>
      </c>
      <c r="N83" s="707" t="s">
        <v>1472</v>
      </c>
      <c r="O83" s="707" t="s">
        <v>1415</v>
      </c>
      <c r="P83" s="706">
        <f>COUNTIF('活動記録（多面的機能支払交付金の様式）'!$H$9:$M$28,【選択肢】!K83)</f>
        <v>0</v>
      </c>
    </row>
    <row r="84" spans="11:16" x14ac:dyDescent="0.15">
      <c r="K84" s="707">
        <v>79</v>
      </c>
      <c r="L84" s="706" t="s">
        <v>2281</v>
      </c>
      <c r="M84" s="706" t="s">
        <v>1472</v>
      </c>
      <c r="N84" s="706" t="s">
        <v>1472</v>
      </c>
      <c r="O84" s="707" t="s">
        <v>408</v>
      </c>
      <c r="P84" s="706">
        <f>COUNTIF('活動記録（多面的機能支払交付金の様式）'!$H$9:$M$28,【選択肢】!K84)</f>
        <v>0</v>
      </c>
    </row>
    <row r="85" spans="11:16" x14ac:dyDescent="0.15">
      <c r="K85" s="707">
        <v>80</v>
      </c>
      <c r="L85" s="706" t="s">
        <v>2281</v>
      </c>
      <c r="M85" s="707" t="s">
        <v>1472</v>
      </c>
      <c r="N85" s="707" t="s">
        <v>1472</v>
      </c>
      <c r="O85" s="707" t="s">
        <v>2293</v>
      </c>
      <c r="P85" s="706">
        <f>COUNTIF('活動記録（多面的機能支払交付金の様式）'!$H$9:$M$28,【選択肢】!K85)</f>
        <v>0</v>
      </c>
    </row>
    <row r="86" spans="11:16" x14ac:dyDescent="0.15">
      <c r="K86" s="708"/>
      <c r="L86" s="708"/>
      <c r="M86" s="708" t="s">
        <v>1368</v>
      </c>
      <c r="N86" s="708"/>
      <c r="O86" s="708"/>
      <c r="P86" s="709"/>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2" fitToWidth="0" orientation="landscape" r:id="rId1"/>
  <colBreaks count="1" manualBreakCount="1">
    <brk id="10" max="77"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Zeros="0" view="pageBreakPreview" zoomScale="52" zoomScaleNormal="100" zoomScaleSheetLayoutView="100" workbookViewId="0">
      <selection activeCell="S8" sqref="S8"/>
    </sheetView>
  </sheetViews>
  <sheetFormatPr defaultColWidth="9" defaultRowHeight="16.5" x14ac:dyDescent="0.4"/>
  <cols>
    <col min="1" max="1" width="1.25" style="342" customWidth="1"/>
    <col min="2" max="2" width="16.375" style="342" customWidth="1"/>
    <col min="3" max="3" width="20.5" style="342" customWidth="1"/>
    <col min="4" max="4" width="6.625" style="342" hidden="1" customWidth="1"/>
    <col min="5" max="5" width="28.5" style="342" customWidth="1"/>
    <col min="6" max="6" width="6.125" style="342" customWidth="1"/>
    <col min="7" max="12" width="20.5" style="342" customWidth="1"/>
    <col min="13" max="13" width="10.875" style="342" customWidth="1"/>
    <col min="14" max="23" width="2.875" style="342" customWidth="1"/>
    <col min="24" max="16384" width="9" style="342"/>
  </cols>
  <sheetData>
    <row r="1" spans="2:14" s="339" customFormat="1" ht="17.25" customHeight="1" x14ac:dyDescent="0.45">
      <c r="B1" s="337" t="s">
        <v>1920</v>
      </c>
      <c r="C1" s="338"/>
      <c r="D1" s="338"/>
      <c r="E1" s="338"/>
      <c r="F1" s="338"/>
      <c r="G1" s="338"/>
      <c r="H1" s="338"/>
      <c r="K1" s="340"/>
    </row>
    <row r="2" spans="2:14" s="339" customFormat="1" ht="17.25" customHeight="1" x14ac:dyDescent="0.45">
      <c r="B2" s="337"/>
      <c r="C2" s="338"/>
      <c r="D2" s="338"/>
      <c r="E2" s="338"/>
      <c r="F2" s="338"/>
      <c r="G2" s="338"/>
      <c r="H2" s="338"/>
      <c r="K2" s="340"/>
    </row>
    <row r="3" spans="2:14" s="339" customFormat="1" ht="17.25" customHeight="1" x14ac:dyDescent="0.15">
      <c r="B3" s="337"/>
      <c r="C3" s="337"/>
      <c r="D3" s="519"/>
      <c r="E3" s="519"/>
      <c r="F3" s="519"/>
      <c r="G3" s="944"/>
      <c r="H3" s="2225" t="s">
        <v>1167</v>
      </c>
      <c r="I3" s="2225"/>
      <c r="J3" s="2225"/>
      <c r="K3" s="340"/>
    </row>
    <row r="4" spans="2:14" s="339" customFormat="1" ht="18.75" customHeight="1" x14ac:dyDescent="0.15">
      <c r="C4" s="519"/>
      <c r="D4" s="519"/>
      <c r="E4" s="519"/>
      <c r="F4" s="519"/>
      <c r="G4" s="2226" t="s">
        <v>2311</v>
      </c>
      <c r="H4" s="2226"/>
      <c r="I4" s="2226"/>
      <c r="K4" s="340" t="s">
        <v>1168</v>
      </c>
      <c r="L4" s="428" t="str">
        <f>はじめに!D5</f>
        <v>真庭集落協定</v>
      </c>
    </row>
    <row r="5" spans="2:14" s="339" customFormat="1" ht="18.75" customHeight="1" x14ac:dyDescent="0.15">
      <c r="B5" s="793" t="s">
        <v>1319</v>
      </c>
      <c r="C5" s="519"/>
      <c r="D5" s="519"/>
      <c r="E5" s="519"/>
      <c r="F5" s="519"/>
      <c r="G5" s="341"/>
      <c r="H5" s="341"/>
      <c r="K5" s="340"/>
      <c r="L5" s="524"/>
    </row>
    <row r="6" spans="2:14" s="339" customFormat="1" ht="27" customHeight="1" x14ac:dyDescent="0.15">
      <c r="B6" s="2229" t="s">
        <v>2275</v>
      </c>
      <c r="C6" s="2229"/>
      <c r="D6" s="2229"/>
      <c r="E6" s="2229"/>
      <c r="F6" s="2229"/>
      <c r="G6" s="2229"/>
      <c r="H6" s="2229"/>
      <c r="I6" s="2229"/>
      <c r="J6" s="2229"/>
      <c r="K6" s="2229"/>
      <c r="L6" s="2229"/>
      <c r="M6" s="2229"/>
      <c r="N6" s="2229"/>
    </row>
    <row r="7" spans="2:14" s="339" customFormat="1" ht="32.450000000000003" customHeight="1" x14ac:dyDescent="0.15">
      <c r="B7" s="2229" t="s">
        <v>2276</v>
      </c>
      <c r="C7" s="2229"/>
      <c r="D7" s="2229"/>
      <c r="E7" s="2229"/>
      <c r="F7" s="2229"/>
      <c r="G7" s="2229"/>
      <c r="H7" s="2229"/>
      <c r="I7" s="2229"/>
      <c r="J7" s="2229"/>
      <c r="K7" s="2229"/>
      <c r="L7" s="2229"/>
      <c r="M7" s="2229"/>
      <c r="N7" s="2229"/>
    </row>
    <row r="8" spans="2:14" s="339" customFormat="1" ht="28.5" customHeight="1" x14ac:dyDescent="0.15">
      <c r="B8" s="2230" t="s">
        <v>1278</v>
      </c>
      <c r="C8" s="2230"/>
      <c r="D8" s="2230"/>
      <c r="E8" s="2230"/>
      <c r="F8" s="2230"/>
      <c r="G8" s="2230"/>
      <c r="H8" s="2230"/>
      <c r="I8" s="2230"/>
      <c r="J8" s="2230"/>
      <c r="K8" s="2230"/>
      <c r="L8" s="2230"/>
      <c r="M8" s="2230"/>
      <c r="N8" s="2230"/>
    </row>
    <row r="9" spans="2:14" ht="23.45" customHeight="1" x14ac:dyDescent="0.4">
      <c r="B9" s="794" t="s">
        <v>1169</v>
      </c>
      <c r="C9" s="794" t="s">
        <v>1362</v>
      </c>
      <c r="D9" s="794" t="s">
        <v>1171</v>
      </c>
      <c r="E9" s="795" t="s">
        <v>1366</v>
      </c>
      <c r="F9" s="437" t="s">
        <v>1154</v>
      </c>
      <c r="G9" s="796" t="s">
        <v>1172</v>
      </c>
      <c r="H9" s="797" t="s">
        <v>1173</v>
      </c>
      <c r="I9" s="797" t="s">
        <v>1174</v>
      </c>
      <c r="J9" s="794" t="s">
        <v>1175</v>
      </c>
      <c r="K9" s="794" t="s">
        <v>1367</v>
      </c>
      <c r="L9" s="798" t="s">
        <v>1095</v>
      </c>
      <c r="M9" s="807" t="s">
        <v>1284</v>
      </c>
    </row>
    <row r="10" spans="2:14" ht="38.450000000000003" customHeight="1" x14ac:dyDescent="0.4">
      <c r="B10" s="938">
        <v>44287</v>
      </c>
      <c r="C10" s="939" t="s">
        <v>1320</v>
      </c>
      <c r="D10" s="940">
        <f>MONTH('金銭出納簿（今年度）（参考）'!$B10)</f>
        <v>4</v>
      </c>
      <c r="E10" s="941" t="s">
        <v>1176</v>
      </c>
      <c r="F10" s="800"/>
      <c r="G10" s="936">
        <v>1800000</v>
      </c>
      <c r="H10" s="937">
        <v>0</v>
      </c>
      <c r="I10" s="343">
        <f>G10-H10</f>
        <v>1800000</v>
      </c>
      <c r="J10" s="935"/>
      <c r="K10" s="935"/>
      <c r="L10" s="934" t="s">
        <v>1177</v>
      </c>
      <c r="M10" s="808"/>
    </row>
    <row r="11" spans="2:14" ht="19.149999999999999" customHeight="1" x14ac:dyDescent="0.4">
      <c r="B11" s="938">
        <v>44287</v>
      </c>
      <c r="C11" s="939" t="s">
        <v>1322</v>
      </c>
      <c r="D11" s="940">
        <f>MONTH('金銭出納簿（今年度）（参考）'!$B11)</f>
        <v>4</v>
      </c>
      <c r="E11" s="941" t="s">
        <v>1178</v>
      </c>
      <c r="F11" s="801"/>
      <c r="G11" s="936">
        <v>130</v>
      </c>
      <c r="H11" s="937">
        <v>0</v>
      </c>
      <c r="I11" s="343">
        <f>I10+$G11-$H11</f>
        <v>1800130</v>
      </c>
      <c r="J11" s="935"/>
      <c r="K11" s="935"/>
      <c r="L11" s="934"/>
      <c r="M11" s="808"/>
    </row>
    <row r="12" spans="2:14" ht="19.149999999999999" customHeight="1" x14ac:dyDescent="0.4">
      <c r="B12" s="942">
        <v>44301</v>
      </c>
      <c r="C12" s="939" t="s">
        <v>1326</v>
      </c>
      <c r="D12" s="940">
        <f>MONTH('金銭出納簿（今年度）（参考）'!$B12)</f>
        <v>4</v>
      </c>
      <c r="E12" s="941" t="s">
        <v>1179</v>
      </c>
      <c r="F12" s="802"/>
      <c r="G12" s="936"/>
      <c r="H12" s="937">
        <v>5000</v>
      </c>
      <c r="I12" s="343">
        <f t="shared" ref="I12:I49" si="0">I11+$G12-$H12</f>
        <v>1795130</v>
      </c>
      <c r="J12" s="935"/>
      <c r="K12" s="935"/>
      <c r="L12" s="934"/>
      <c r="M12" s="808"/>
    </row>
    <row r="13" spans="2:14" ht="19.5" customHeight="1" x14ac:dyDescent="0.4">
      <c r="B13" s="938">
        <v>44319</v>
      </c>
      <c r="C13" s="939" t="s">
        <v>1334</v>
      </c>
      <c r="D13" s="940">
        <f>MONTH('金銭出納簿（今年度）（参考）'!$B13)</f>
        <v>5</v>
      </c>
      <c r="E13" s="941" t="s">
        <v>1180</v>
      </c>
      <c r="F13" s="801"/>
      <c r="G13" s="936"/>
      <c r="H13" s="937">
        <v>30000</v>
      </c>
      <c r="I13" s="343">
        <f t="shared" si="0"/>
        <v>1765130</v>
      </c>
      <c r="J13" s="935">
        <v>1</v>
      </c>
      <c r="K13" s="935"/>
      <c r="L13" s="934"/>
      <c r="M13" s="808"/>
    </row>
    <row r="14" spans="2:14" ht="36.6" customHeight="1" x14ac:dyDescent="0.4">
      <c r="B14" s="942">
        <v>43985</v>
      </c>
      <c r="C14" s="939" t="s">
        <v>1326</v>
      </c>
      <c r="D14" s="940">
        <f>MONTH('金銭出納簿（今年度）（参考）'!$B14)</f>
        <v>6</v>
      </c>
      <c r="E14" s="941" t="s">
        <v>1181</v>
      </c>
      <c r="F14" s="801"/>
      <c r="G14" s="936"/>
      <c r="H14" s="937">
        <v>300000</v>
      </c>
      <c r="I14" s="343">
        <f t="shared" si="0"/>
        <v>1465130</v>
      </c>
      <c r="J14" s="935">
        <v>2</v>
      </c>
      <c r="K14" s="935"/>
      <c r="L14" s="934" t="s">
        <v>1182</v>
      </c>
      <c r="M14" s="808"/>
    </row>
    <row r="15" spans="2:14" ht="19.5" customHeight="1" x14ac:dyDescent="0.4">
      <c r="B15" s="942">
        <v>43989</v>
      </c>
      <c r="C15" s="939" t="s">
        <v>1328</v>
      </c>
      <c r="D15" s="940">
        <f>MONTH('金銭出納簿（今年度）（参考）'!$B15)</f>
        <v>6</v>
      </c>
      <c r="E15" s="941" t="s">
        <v>1183</v>
      </c>
      <c r="F15" s="801"/>
      <c r="G15" s="936"/>
      <c r="H15" s="937">
        <v>60000</v>
      </c>
      <c r="I15" s="343">
        <f t="shared" si="0"/>
        <v>1405130</v>
      </c>
      <c r="J15" s="935">
        <v>3</v>
      </c>
      <c r="K15" s="935"/>
      <c r="L15" s="934"/>
      <c r="M15" s="808"/>
    </row>
    <row r="16" spans="2:14" ht="19.5" customHeight="1" x14ac:dyDescent="0.4">
      <c r="B16" s="942">
        <v>44013</v>
      </c>
      <c r="C16" s="939" t="s">
        <v>1330</v>
      </c>
      <c r="D16" s="940">
        <f>MONTH('金銭出納簿（今年度）（参考）'!$B16)</f>
        <v>7</v>
      </c>
      <c r="E16" s="941" t="s">
        <v>663</v>
      </c>
      <c r="F16" s="803"/>
      <c r="G16" s="936"/>
      <c r="H16" s="937">
        <v>60000</v>
      </c>
      <c r="I16" s="343">
        <f t="shared" si="0"/>
        <v>1345130</v>
      </c>
      <c r="J16" s="935">
        <v>4</v>
      </c>
      <c r="K16" s="935"/>
      <c r="L16" s="934"/>
      <c r="M16" s="808"/>
    </row>
    <row r="17" spans="2:13" ht="19.5" customHeight="1" x14ac:dyDescent="0.4">
      <c r="B17" s="942">
        <v>44046</v>
      </c>
      <c r="C17" s="939" t="s">
        <v>1326</v>
      </c>
      <c r="D17" s="940">
        <f>MONTH('金銭出納簿（今年度）（参考）'!$B17)</f>
        <v>8</v>
      </c>
      <c r="E17" s="941" t="s">
        <v>1184</v>
      </c>
      <c r="F17" s="801"/>
      <c r="G17" s="936"/>
      <c r="H17" s="937">
        <v>100000</v>
      </c>
      <c r="I17" s="343">
        <f t="shared" si="0"/>
        <v>1245130</v>
      </c>
      <c r="J17" s="935">
        <v>5</v>
      </c>
      <c r="K17" s="935"/>
      <c r="L17" s="934"/>
      <c r="M17" s="808"/>
    </row>
    <row r="18" spans="2:13" ht="19.5" customHeight="1" x14ac:dyDescent="0.4">
      <c r="B18" s="942">
        <v>44051</v>
      </c>
      <c r="C18" s="939" t="s">
        <v>1325</v>
      </c>
      <c r="D18" s="943">
        <f>MONTH('金銭出納簿（今年度）（参考）'!$B18)</f>
        <v>8</v>
      </c>
      <c r="E18" s="941" t="s">
        <v>1185</v>
      </c>
      <c r="F18" s="801"/>
      <c r="G18" s="936"/>
      <c r="H18" s="937">
        <v>50000</v>
      </c>
      <c r="I18" s="343">
        <f t="shared" si="0"/>
        <v>1195130</v>
      </c>
      <c r="J18" s="935">
        <v>6</v>
      </c>
      <c r="K18" s="935"/>
      <c r="L18" s="934"/>
      <c r="M18" s="808"/>
    </row>
    <row r="19" spans="2:13" ht="19.5" customHeight="1" x14ac:dyDescent="0.4">
      <c r="B19" s="942">
        <v>44075</v>
      </c>
      <c r="C19" s="939" t="s">
        <v>1330</v>
      </c>
      <c r="D19" s="940">
        <f>MONTH('金銭出納簿（今年度）（参考）'!$B19)</f>
        <v>9</v>
      </c>
      <c r="E19" s="941" t="s">
        <v>1186</v>
      </c>
      <c r="F19" s="801"/>
      <c r="G19" s="936"/>
      <c r="H19" s="937">
        <v>120000</v>
      </c>
      <c r="I19" s="343">
        <f t="shared" si="0"/>
        <v>1075130</v>
      </c>
      <c r="J19" s="935">
        <v>7</v>
      </c>
      <c r="K19" s="935"/>
      <c r="L19" s="934"/>
      <c r="M19" s="808"/>
    </row>
    <row r="20" spans="2:13" ht="19.5" customHeight="1" x14ac:dyDescent="0.4">
      <c r="B20" s="942">
        <v>44089</v>
      </c>
      <c r="C20" s="939" t="s">
        <v>1322</v>
      </c>
      <c r="D20" s="940">
        <f>MONTH('金銭出納簿（今年度）（参考）'!$B20)</f>
        <v>9</v>
      </c>
      <c r="E20" s="941" t="s">
        <v>1183</v>
      </c>
      <c r="F20" s="801"/>
      <c r="G20" s="936">
        <v>20000</v>
      </c>
      <c r="H20" s="937"/>
      <c r="I20" s="343">
        <f t="shared" si="0"/>
        <v>1095130</v>
      </c>
      <c r="J20" s="935">
        <v>8</v>
      </c>
      <c r="K20" s="935"/>
      <c r="L20" s="934"/>
      <c r="M20" s="808"/>
    </row>
    <row r="21" spans="2:13" ht="19.5" customHeight="1" x14ac:dyDescent="0.4">
      <c r="B21" s="942">
        <v>44099</v>
      </c>
      <c r="C21" s="939" t="s">
        <v>1332</v>
      </c>
      <c r="D21" s="940">
        <f>MONTH('金銭出納簿（今年度）（参考）'!$B21)</f>
        <v>9</v>
      </c>
      <c r="E21" s="941" t="s">
        <v>1187</v>
      </c>
      <c r="F21" s="801"/>
      <c r="G21" s="936"/>
      <c r="H21" s="937">
        <v>400000</v>
      </c>
      <c r="I21" s="343">
        <f t="shared" si="0"/>
        <v>695130</v>
      </c>
      <c r="J21" s="935" t="s">
        <v>1188</v>
      </c>
      <c r="K21" s="935"/>
      <c r="L21" s="934"/>
      <c r="M21" s="808"/>
    </row>
    <row r="22" spans="2:13" ht="19.5" customHeight="1" x14ac:dyDescent="0.4">
      <c r="B22" s="942">
        <v>44105</v>
      </c>
      <c r="C22" s="939" t="s">
        <v>1322</v>
      </c>
      <c r="D22" s="940">
        <f>MONTH('金銭出納簿（今年度）（参考）'!$B22)</f>
        <v>10</v>
      </c>
      <c r="E22" s="941" t="s">
        <v>1178</v>
      </c>
      <c r="F22" s="801"/>
      <c r="G22" s="936">
        <v>40</v>
      </c>
      <c r="H22" s="937">
        <v>0</v>
      </c>
      <c r="I22" s="343">
        <f t="shared" si="0"/>
        <v>695170</v>
      </c>
      <c r="J22" s="935"/>
      <c r="K22" s="935"/>
      <c r="L22" s="934"/>
      <c r="M22" s="808"/>
    </row>
    <row r="23" spans="2:13" ht="19.5" customHeight="1" x14ac:dyDescent="0.4">
      <c r="B23" s="942">
        <v>44105</v>
      </c>
      <c r="C23" s="939" t="s">
        <v>1340</v>
      </c>
      <c r="D23" s="940">
        <f>MONTH('金銭出納簿（今年度）（参考）'!$B23)</f>
        <v>10</v>
      </c>
      <c r="E23" s="941" t="s">
        <v>1189</v>
      </c>
      <c r="F23" s="801"/>
      <c r="G23" s="936"/>
      <c r="H23" s="937">
        <v>60000</v>
      </c>
      <c r="I23" s="343">
        <f t="shared" si="0"/>
        <v>635170</v>
      </c>
      <c r="J23" s="935">
        <v>11</v>
      </c>
      <c r="K23" s="935"/>
      <c r="L23" s="934"/>
      <c r="M23" s="808"/>
    </row>
    <row r="24" spans="2:13" ht="19.5" customHeight="1" x14ac:dyDescent="0.4">
      <c r="B24" s="942">
        <v>44150</v>
      </c>
      <c r="C24" s="939" t="s">
        <v>1321</v>
      </c>
      <c r="D24" s="940">
        <f>MONTH('金銭出納簿（今年度）（参考）'!$B24)</f>
        <v>11</v>
      </c>
      <c r="E24" s="941" t="s">
        <v>1190</v>
      </c>
      <c r="F24" s="801"/>
      <c r="G24" s="936">
        <v>4800000</v>
      </c>
      <c r="H24" s="937">
        <v>0</v>
      </c>
      <c r="I24" s="343">
        <f t="shared" si="0"/>
        <v>5435170</v>
      </c>
      <c r="J24" s="935"/>
      <c r="K24" s="935"/>
      <c r="L24" s="934"/>
      <c r="M24" s="808"/>
    </row>
    <row r="25" spans="2:13" ht="19.5" customHeight="1" x14ac:dyDescent="0.4">
      <c r="B25" s="942">
        <v>44165</v>
      </c>
      <c r="C25" s="939" t="s">
        <v>1323</v>
      </c>
      <c r="D25" s="940">
        <f>MONTH('金銭出納簿（今年度）（参考）'!$B25)</f>
        <v>11</v>
      </c>
      <c r="E25" s="941" t="s">
        <v>1191</v>
      </c>
      <c r="F25" s="801"/>
      <c r="G25" s="936"/>
      <c r="H25" s="937">
        <v>2400000</v>
      </c>
      <c r="I25" s="343">
        <f t="shared" si="0"/>
        <v>3035170</v>
      </c>
      <c r="J25" s="935" t="s">
        <v>1192</v>
      </c>
      <c r="K25" s="935"/>
      <c r="L25" s="934"/>
      <c r="M25" s="808"/>
    </row>
    <row r="26" spans="2:13" ht="19.5" customHeight="1" x14ac:dyDescent="0.4">
      <c r="B26" s="942">
        <v>44530</v>
      </c>
      <c r="C26" s="939" t="s">
        <v>1324</v>
      </c>
      <c r="D26" s="940">
        <f>MONTH('金銭出納簿（今年度）（参考）'!$B26)</f>
        <v>11</v>
      </c>
      <c r="E26" s="941" t="s">
        <v>1191</v>
      </c>
      <c r="F26" s="801"/>
      <c r="G26" s="936"/>
      <c r="H26" s="937">
        <v>100000</v>
      </c>
      <c r="I26" s="343">
        <f t="shared" si="0"/>
        <v>2935170</v>
      </c>
      <c r="J26" s="935" t="s">
        <v>1192</v>
      </c>
      <c r="K26" s="935"/>
      <c r="L26" s="934"/>
      <c r="M26" s="808"/>
    </row>
    <row r="27" spans="2:13" ht="19.5" customHeight="1" x14ac:dyDescent="0.4">
      <c r="B27" s="942">
        <v>44530</v>
      </c>
      <c r="C27" s="939" t="s">
        <v>1328</v>
      </c>
      <c r="D27" s="940">
        <f>MONTH('金銭出納簿（今年度）（参考）'!$B27)</f>
        <v>11</v>
      </c>
      <c r="E27" s="941" t="s">
        <v>1193</v>
      </c>
      <c r="F27" s="801"/>
      <c r="G27" s="936"/>
      <c r="H27" s="937">
        <v>20000</v>
      </c>
      <c r="I27" s="343">
        <f t="shared" si="0"/>
        <v>2915170</v>
      </c>
      <c r="J27" s="935"/>
      <c r="K27" s="935"/>
      <c r="L27" s="934"/>
      <c r="M27" s="808"/>
    </row>
    <row r="28" spans="2:13" ht="19.5" customHeight="1" x14ac:dyDescent="0.4">
      <c r="B28" s="942">
        <v>44166</v>
      </c>
      <c r="C28" s="939" t="s">
        <v>1325</v>
      </c>
      <c r="D28" s="940">
        <f>MONTH('金銭出納簿（今年度）（参考）'!$B28)</f>
        <v>12</v>
      </c>
      <c r="E28" s="941" t="s">
        <v>1191</v>
      </c>
      <c r="F28" s="800"/>
      <c r="G28" s="936"/>
      <c r="H28" s="937">
        <v>200000</v>
      </c>
      <c r="I28" s="343">
        <f t="shared" si="0"/>
        <v>2715170</v>
      </c>
      <c r="J28" s="935" t="s">
        <v>1194</v>
      </c>
      <c r="K28" s="935"/>
      <c r="L28" s="934"/>
      <c r="M28" s="808"/>
    </row>
    <row r="29" spans="2:13" ht="19.5" customHeight="1" x14ac:dyDescent="0.4">
      <c r="B29" s="942">
        <v>44197</v>
      </c>
      <c r="C29" s="939" t="s">
        <v>1328</v>
      </c>
      <c r="D29" s="940">
        <f>MONTH('金銭出納簿（今年度）（参考）'!$B29)</f>
        <v>1</v>
      </c>
      <c r="E29" s="941" t="s">
        <v>1193</v>
      </c>
      <c r="F29" s="801"/>
      <c r="G29" s="936"/>
      <c r="H29" s="937">
        <v>40000</v>
      </c>
      <c r="I29" s="343">
        <f t="shared" si="0"/>
        <v>2675170</v>
      </c>
      <c r="J29" s="935">
        <v>58</v>
      </c>
      <c r="K29" s="935"/>
      <c r="L29" s="934"/>
      <c r="M29" s="808"/>
    </row>
    <row r="30" spans="2:13" ht="19.5" customHeight="1" x14ac:dyDescent="0.4">
      <c r="B30" s="942">
        <v>44208</v>
      </c>
      <c r="C30" s="939" t="s">
        <v>1326</v>
      </c>
      <c r="D30" s="940">
        <f>MONTH('金銭出納簿（今年度）（参考）'!$B30)</f>
        <v>1</v>
      </c>
      <c r="E30" s="941" t="s">
        <v>1195</v>
      </c>
      <c r="F30" s="802"/>
      <c r="G30" s="936"/>
      <c r="H30" s="937">
        <v>200000</v>
      </c>
      <c r="I30" s="343">
        <f t="shared" si="0"/>
        <v>2475170</v>
      </c>
      <c r="J30" s="935">
        <v>59</v>
      </c>
      <c r="K30" s="935"/>
      <c r="L30" s="934"/>
      <c r="M30" s="808"/>
    </row>
    <row r="31" spans="2:13" ht="19.5" customHeight="1" x14ac:dyDescent="0.4">
      <c r="B31" s="942">
        <v>44209</v>
      </c>
      <c r="C31" s="939" t="s">
        <v>1330</v>
      </c>
      <c r="D31" s="940">
        <f>MONTH('金銭出納簿（今年度）（参考）'!$B31)</f>
        <v>1</v>
      </c>
      <c r="E31" s="941" t="s">
        <v>1196</v>
      </c>
      <c r="F31" s="801"/>
      <c r="G31" s="936"/>
      <c r="H31" s="937">
        <v>200000</v>
      </c>
      <c r="I31" s="343">
        <f t="shared" si="0"/>
        <v>2275170</v>
      </c>
      <c r="J31" s="935">
        <v>60</v>
      </c>
      <c r="K31" s="935"/>
      <c r="L31" s="934"/>
      <c r="M31" s="808"/>
    </row>
    <row r="32" spans="2:13" ht="19.5" customHeight="1" x14ac:dyDescent="0.4">
      <c r="B32" s="942">
        <v>44198</v>
      </c>
      <c r="C32" s="939" t="s">
        <v>1322</v>
      </c>
      <c r="D32" s="940">
        <f>MONTH('金銭出納簿（今年度）（参考）'!$B32)</f>
        <v>1</v>
      </c>
      <c r="E32" s="941" t="s">
        <v>1178</v>
      </c>
      <c r="F32" s="801"/>
      <c r="G32" s="936">
        <v>120</v>
      </c>
      <c r="H32" s="937"/>
      <c r="I32" s="343">
        <f t="shared" si="0"/>
        <v>2275290</v>
      </c>
      <c r="J32" s="935"/>
      <c r="K32" s="935"/>
      <c r="L32" s="934"/>
      <c r="M32" s="808"/>
    </row>
    <row r="33" spans="2:13" ht="19.5" customHeight="1" x14ac:dyDescent="0.4">
      <c r="B33" s="942">
        <v>44212</v>
      </c>
      <c r="C33" s="939" t="s">
        <v>1352</v>
      </c>
      <c r="D33" s="940">
        <f>MONTH('金銭出納簿（今年度）（参考）'!$B33)</f>
        <v>1</v>
      </c>
      <c r="E33" s="941" t="s">
        <v>1197</v>
      </c>
      <c r="F33" s="801"/>
      <c r="G33" s="936"/>
      <c r="H33" s="937">
        <v>50000</v>
      </c>
      <c r="I33" s="343">
        <f t="shared" si="0"/>
        <v>2225290</v>
      </c>
      <c r="J33" s="935">
        <v>61</v>
      </c>
      <c r="K33" s="935"/>
      <c r="L33" s="934"/>
      <c r="M33" s="808"/>
    </row>
    <row r="34" spans="2:13" ht="19.5" customHeight="1" x14ac:dyDescent="0.4">
      <c r="B34" s="942">
        <v>44213</v>
      </c>
      <c r="C34" s="939" t="s">
        <v>1342</v>
      </c>
      <c r="D34" s="940">
        <f>MONTH('金銭出納簿（今年度）（参考）'!$B34)</f>
        <v>1</v>
      </c>
      <c r="E34" s="941" t="s">
        <v>1197</v>
      </c>
      <c r="F34" s="803"/>
      <c r="G34" s="936"/>
      <c r="H34" s="937">
        <v>50001</v>
      </c>
      <c r="I34" s="343">
        <f t="shared" si="0"/>
        <v>2175289</v>
      </c>
      <c r="J34" s="935">
        <v>62</v>
      </c>
      <c r="K34" s="935"/>
      <c r="L34" s="934"/>
      <c r="M34" s="808"/>
    </row>
    <row r="35" spans="2:13" ht="19.5" customHeight="1" x14ac:dyDescent="0.4">
      <c r="B35" s="942">
        <v>44228</v>
      </c>
      <c r="C35" s="939" t="s">
        <v>1346</v>
      </c>
      <c r="D35" s="940">
        <f>MONTH('金銭出納簿（今年度）（参考）'!$B35)</f>
        <v>2</v>
      </c>
      <c r="E35" s="941" t="s">
        <v>1199</v>
      </c>
      <c r="F35" s="801"/>
      <c r="G35" s="936"/>
      <c r="H35" s="937">
        <v>2000</v>
      </c>
      <c r="I35" s="343">
        <f t="shared" si="0"/>
        <v>2173289</v>
      </c>
      <c r="J35" s="935">
        <v>63</v>
      </c>
      <c r="K35" s="935"/>
      <c r="L35" s="934"/>
      <c r="M35" s="808"/>
    </row>
    <row r="36" spans="2:13" ht="19.5" customHeight="1" x14ac:dyDescent="0.4">
      <c r="B36" s="942">
        <v>44229</v>
      </c>
      <c r="C36" s="939" t="s">
        <v>1350</v>
      </c>
      <c r="D36" s="940">
        <f>MONTH('金銭出納簿（今年度）（参考）'!$B36)</f>
        <v>2</v>
      </c>
      <c r="E36" s="941" t="s">
        <v>1200</v>
      </c>
      <c r="F36" s="801"/>
      <c r="G36" s="936"/>
      <c r="H36" s="937">
        <v>100000</v>
      </c>
      <c r="I36" s="343">
        <f t="shared" si="0"/>
        <v>2073289</v>
      </c>
      <c r="J36" s="935">
        <v>64</v>
      </c>
      <c r="K36" s="935"/>
      <c r="L36" s="934"/>
      <c r="M36" s="808"/>
    </row>
    <row r="37" spans="2:13" ht="19.5" customHeight="1" x14ac:dyDescent="0.4">
      <c r="B37" s="942">
        <v>44230</v>
      </c>
      <c r="C37" s="939" t="s">
        <v>1336</v>
      </c>
      <c r="D37" s="940">
        <f>MONTH('金銭出納簿（今年度）（参考）'!$B37)</f>
        <v>2</v>
      </c>
      <c r="E37" s="941" t="s">
        <v>1201</v>
      </c>
      <c r="F37" s="801"/>
      <c r="G37" s="936"/>
      <c r="H37" s="937">
        <v>100000</v>
      </c>
      <c r="I37" s="343">
        <f t="shared" si="0"/>
        <v>1973289</v>
      </c>
      <c r="J37" s="935">
        <v>65</v>
      </c>
      <c r="K37" s="935"/>
      <c r="L37" s="934"/>
      <c r="M37" s="808"/>
    </row>
    <row r="38" spans="2:13" ht="19.5" customHeight="1" x14ac:dyDescent="0.4">
      <c r="B38" s="942">
        <v>44232</v>
      </c>
      <c r="C38" s="939" t="s">
        <v>1348</v>
      </c>
      <c r="D38" s="940">
        <f>MONTH('金銭出納簿（今年度）（参考）'!$B38)</f>
        <v>2</v>
      </c>
      <c r="E38" s="941" t="s">
        <v>1202</v>
      </c>
      <c r="F38" s="801"/>
      <c r="G38" s="936"/>
      <c r="H38" s="937">
        <v>50000</v>
      </c>
      <c r="I38" s="343">
        <f t="shared" si="0"/>
        <v>1923289</v>
      </c>
      <c r="J38" s="935">
        <v>66</v>
      </c>
      <c r="K38" s="935"/>
      <c r="L38" s="934"/>
      <c r="M38" s="808"/>
    </row>
    <row r="39" spans="2:13" ht="19.5" customHeight="1" x14ac:dyDescent="0.4">
      <c r="B39" s="942">
        <v>44258</v>
      </c>
      <c r="C39" s="939" t="s">
        <v>1326</v>
      </c>
      <c r="D39" s="940">
        <f>MONTH('金銭出納簿（今年度）（参考）'!$B39)</f>
        <v>3</v>
      </c>
      <c r="E39" s="941" t="s">
        <v>1197</v>
      </c>
      <c r="F39" s="801"/>
      <c r="G39" s="936"/>
      <c r="H39" s="937">
        <v>50000</v>
      </c>
      <c r="I39" s="343">
        <f t="shared" si="0"/>
        <v>1873289</v>
      </c>
      <c r="J39" s="935">
        <v>67</v>
      </c>
      <c r="K39" s="935"/>
      <c r="L39" s="934"/>
      <c r="M39" s="808"/>
    </row>
    <row r="40" spans="2:13" ht="19.5" customHeight="1" x14ac:dyDescent="0.4">
      <c r="B40" s="942">
        <v>44258</v>
      </c>
      <c r="C40" s="939" t="s">
        <v>1352</v>
      </c>
      <c r="D40" s="940">
        <f>MONTH('金銭出納簿（今年度）（参考）'!$B40)</f>
        <v>3</v>
      </c>
      <c r="E40" s="941" t="s">
        <v>1203</v>
      </c>
      <c r="F40" s="801"/>
      <c r="G40" s="936"/>
      <c r="H40" s="937">
        <v>20000</v>
      </c>
      <c r="I40" s="343">
        <f t="shared" si="0"/>
        <v>1853289</v>
      </c>
      <c r="J40" s="935">
        <v>68</v>
      </c>
      <c r="K40" s="935"/>
      <c r="L40" s="934"/>
      <c r="M40" s="808"/>
    </row>
    <row r="41" spans="2:13" ht="19.5" customHeight="1" x14ac:dyDescent="0.4">
      <c r="B41" s="942">
        <v>44258</v>
      </c>
      <c r="C41" s="939" t="s">
        <v>1352</v>
      </c>
      <c r="D41" s="940">
        <f>MONTH('金銭出納簿（今年度）（参考）'!$B41)</f>
        <v>3</v>
      </c>
      <c r="E41" s="941" t="s">
        <v>1204</v>
      </c>
      <c r="F41" s="801"/>
      <c r="G41" s="936"/>
      <c r="H41" s="937">
        <v>3000</v>
      </c>
      <c r="I41" s="343">
        <f t="shared" si="0"/>
        <v>1850289</v>
      </c>
      <c r="J41" s="935">
        <v>69</v>
      </c>
      <c r="K41" s="935"/>
      <c r="L41" s="934"/>
      <c r="M41" s="808"/>
    </row>
    <row r="42" spans="2:13" ht="19.5" customHeight="1" x14ac:dyDescent="0.4">
      <c r="B42" s="942">
        <v>44286</v>
      </c>
      <c r="C42" s="939" t="s">
        <v>1323</v>
      </c>
      <c r="D42" s="940">
        <f>MONTH('金銭出納簿（今年度）（参考）'!$B42)</f>
        <v>3</v>
      </c>
      <c r="E42" s="941" t="s">
        <v>1191</v>
      </c>
      <c r="F42" s="801"/>
      <c r="G42" s="936"/>
      <c r="H42" s="937">
        <v>150000</v>
      </c>
      <c r="I42" s="343">
        <f t="shared" si="0"/>
        <v>1700289</v>
      </c>
      <c r="J42" s="935">
        <v>70</v>
      </c>
      <c r="K42" s="935"/>
      <c r="L42" s="934"/>
      <c r="M42" s="808"/>
    </row>
    <row r="43" spans="2:13" ht="19.5" customHeight="1" x14ac:dyDescent="0.4">
      <c r="B43" s="942"/>
      <c r="C43" s="939"/>
      <c r="D43" s="940">
        <f>MONTH('金銭出納簿（今年度）（参考）'!$B43)</f>
        <v>1</v>
      </c>
      <c r="E43" s="941"/>
      <c r="F43" s="801"/>
      <c r="G43" s="936"/>
      <c r="H43" s="937"/>
      <c r="I43" s="343">
        <f t="shared" si="0"/>
        <v>1700289</v>
      </c>
      <c r="J43" s="935"/>
      <c r="K43" s="935"/>
      <c r="L43" s="934"/>
      <c r="M43" s="808"/>
    </row>
    <row r="44" spans="2:13" ht="19.5" customHeight="1" x14ac:dyDescent="0.4">
      <c r="B44" s="942"/>
      <c r="C44" s="939"/>
      <c r="D44" s="940">
        <f>MONTH('金銭出納簿（今年度）（参考）'!$B44)</f>
        <v>1</v>
      </c>
      <c r="E44" s="941"/>
      <c r="F44" s="801"/>
      <c r="G44" s="936"/>
      <c r="H44" s="937"/>
      <c r="I44" s="343">
        <f t="shared" si="0"/>
        <v>1700289</v>
      </c>
      <c r="J44" s="935"/>
      <c r="K44" s="935"/>
      <c r="L44" s="934"/>
      <c r="M44" s="808"/>
    </row>
    <row r="45" spans="2:13" ht="19.5" customHeight="1" x14ac:dyDescent="0.4">
      <c r="B45" s="942"/>
      <c r="C45" s="939"/>
      <c r="D45" s="940">
        <f>MONTH('金銭出納簿（今年度）（参考）'!$B45)</f>
        <v>1</v>
      </c>
      <c r="E45" s="941"/>
      <c r="F45" s="801"/>
      <c r="G45" s="936"/>
      <c r="H45" s="937"/>
      <c r="I45" s="343">
        <f t="shared" si="0"/>
        <v>1700289</v>
      </c>
      <c r="J45" s="935"/>
      <c r="K45" s="935"/>
      <c r="L45" s="934"/>
      <c r="M45" s="808"/>
    </row>
    <row r="46" spans="2:13" ht="19.5" customHeight="1" x14ac:dyDescent="0.4">
      <c r="B46" s="942"/>
      <c r="C46" s="939"/>
      <c r="D46" s="940">
        <f>MONTH('金銭出納簿（今年度）（参考）'!$B46)</f>
        <v>1</v>
      </c>
      <c r="E46" s="941"/>
      <c r="F46" s="801"/>
      <c r="G46" s="936"/>
      <c r="H46" s="937"/>
      <c r="I46" s="343">
        <f t="shared" si="0"/>
        <v>1700289</v>
      </c>
      <c r="J46" s="935"/>
      <c r="K46" s="935"/>
      <c r="L46" s="934"/>
      <c r="M46" s="808"/>
    </row>
    <row r="47" spans="2:13" ht="19.5" customHeight="1" x14ac:dyDescent="0.4">
      <c r="B47" s="942"/>
      <c r="C47" s="939"/>
      <c r="D47" s="940">
        <f>MONTH('金銭出納簿（今年度）（参考）'!$B47)</f>
        <v>1</v>
      </c>
      <c r="E47" s="941"/>
      <c r="F47" s="801"/>
      <c r="G47" s="936"/>
      <c r="H47" s="937"/>
      <c r="I47" s="343">
        <f t="shared" si="0"/>
        <v>1700289</v>
      </c>
      <c r="J47" s="935"/>
      <c r="K47" s="935"/>
      <c r="L47" s="934"/>
      <c r="M47" s="808"/>
    </row>
    <row r="48" spans="2:13" ht="19.5" customHeight="1" x14ac:dyDescent="0.4">
      <c r="B48" s="942"/>
      <c r="C48" s="939"/>
      <c r="D48" s="940">
        <f>MONTH('金銭出納簿（今年度）（参考）'!$B48)</f>
        <v>1</v>
      </c>
      <c r="E48" s="941"/>
      <c r="F48" s="801"/>
      <c r="G48" s="936"/>
      <c r="H48" s="937"/>
      <c r="I48" s="343">
        <f t="shared" si="0"/>
        <v>1700289</v>
      </c>
      <c r="J48" s="935"/>
      <c r="K48" s="935"/>
      <c r="L48" s="934"/>
      <c r="M48" s="808"/>
    </row>
    <row r="49" spans="2:13" ht="19.5" customHeight="1" x14ac:dyDescent="0.4">
      <c r="B49" s="942"/>
      <c r="C49" s="939"/>
      <c r="D49" s="940">
        <f>MONTH('金銭出納簿（今年度）（参考）'!$B49)</f>
        <v>1</v>
      </c>
      <c r="E49" s="941"/>
      <c r="F49" s="801"/>
      <c r="G49" s="936"/>
      <c r="H49" s="937"/>
      <c r="I49" s="343">
        <f t="shared" si="0"/>
        <v>1700289</v>
      </c>
      <c r="J49" s="935"/>
      <c r="K49" s="935"/>
      <c r="L49" s="934"/>
      <c r="M49" s="808"/>
    </row>
    <row r="50" spans="2:13" ht="19.5" customHeight="1" thickBot="1" x14ac:dyDescent="0.45">
      <c r="B50" s="2216" t="s">
        <v>1205</v>
      </c>
      <c r="C50" s="2217"/>
      <c r="D50" s="2217"/>
      <c r="E50" s="2217"/>
      <c r="F50" s="2217"/>
      <c r="G50" s="2217"/>
      <c r="H50" s="2217"/>
      <c r="I50" s="2217"/>
      <c r="J50" s="2217"/>
      <c r="K50" s="2217"/>
      <c r="L50" s="2217"/>
      <c r="M50" s="2217"/>
    </row>
    <row r="51" spans="2:13" ht="19.5" customHeight="1" thickTop="1" x14ac:dyDescent="0.4">
      <c r="B51" s="2236" t="s">
        <v>1206</v>
      </c>
      <c r="C51" s="2237"/>
      <c r="D51" s="2237"/>
      <c r="E51" s="2238"/>
      <c r="F51" s="819"/>
      <c r="G51" s="518">
        <f>SUM($G$10:$G$50)</f>
        <v>6620290</v>
      </c>
      <c r="H51" s="344">
        <f>SUM($H$10:$H$50)</f>
        <v>4920001</v>
      </c>
      <c r="I51" s="344">
        <f>G51-H51</f>
        <v>1700289</v>
      </c>
      <c r="J51" s="345"/>
      <c r="K51" s="809"/>
      <c r="L51" s="810"/>
      <c r="M51" s="811"/>
    </row>
    <row r="52" spans="2:13" ht="14.25" customHeight="1" x14ac:dyDescent="0.4">
      <c r="B52" s="348" t="s">
        <v>1207</v>
      </c>
      <c r="C52" s="349"/>
      <c r="D52" s="349"/>
      <c r="E52" s="349"/>
      <c r="F52" s="349"/>
      <c r="G52" s="350"/>
      <c r="H52" s="351"/>
      <c r="I52" s="352"/>
      <c r="J52" s="352"/>
      <c r="K52" s="352"/>
    </row>
    <row r="53" spans="2:13" ht="19.149999999999999" customHeight="1" x14ac:dyDescent="0.4">
      <c r="B53" s="353"/>
      <c r="C53" s="353"/>
      <c r="D53" s="353"/>
      <c r="E53" s="353"/>
      <c r="F53" s="353"/>
      <c r="G53" s="353"/>
      <c r="H53" s="353"/>
      <c r="I53" s="353"/>
      <c r="J53" s="353"/>
      <c r="K53" s="353"/>
    </row>
    <row r="54" spans="2:13" ht="19.149999999999999" customHeight="1" x14ac:dyDescent="0.4">
      <c r="B54" s="354" t="s">
        <v>1208</v>
      </c>
      <c r="C54" s="353"/>
      <c r="D54" s="353"/>
      <c r="E54" s="353"/>
      <c r="F54" s="353"/>
      <c r="G54" s="353"/>
      <c r="H54" s="353"/>
      <c r="I54" s="353"/>
      <c r="J54" s="353"/>
      <c r="K54" s="353"/>
    </row>
    <row r="55" spans="2:13" ht="19.149999999999999" customHeight="1" x14ac:dyDescent="0.4">
      <c r="B55" s="527" t="s">
        <v>1369</v>
      </c>
      <c r="C55" s="353"/>
      <c r="D55" s="353"/>
      <c r="E55" s="353"/>
      <c r="F55" s="353"/>
      <c r="G55" s="353"/>
      <c r="H55" s="353"/>
      <c r="I55" s="353"/>
      <c r="J55" s="353"/>
      <c r="K55" s="353"/>
    </row>
    <row r="56" spans="2:13" ht="19.149999999999999" customHeight="1" x14ac:dyDescent="0.45">
      <c r="B56" s="2194" t="s">
        <v>1209</v>
      </c>
      <c r="C56" s="2195"/>
      <c r="D56" s="356"/>
      <c r="E56" s="355" t="s">
        <v>1210</v>
      </c>
      <c r="F56" s="2220" t="s">
        <v>1211</v>
      </c>
      <c r="G56" s="2221"/>
      <c r="H56" s="525"/>
      <c r="I56" s="525"/>
      <c r="J56" s="525"/>
      <c r="K56" s="357" t="s">
        <v>1212</v>
      </c>
    </row>
    <row r="57" spans="2:13" ht="19.149999999999999" customHeight="1" x14ac:dyDescent="0.45">
      <c r="B57" s="2196" t="s">
        <v>1353</v>
      </c>
      <c r="C57" s="2197"/>
      <c r="D57" s="945"/>
      <c r="E57" s="946">
        <v>1000000</v>
      </c>
      <c r="F57" s="2222" t="s">
        <v>1213</v>
      </c>
      <c r="G57" s="2223"/>
      <c r="H57" s="2223"/>
      <c r="I57" s="2223"/>
      <c r="J57" s="2224"/>
      <c r="K57" s="947" t="s">
        <v>1214</v>
      </c>
    </row>
    <row r="58" spans="2:13" ht="19.149999999999999" customHeight="1" x14ac:dyDescent="0.45">
      <c r="B58" s="2196" t="s">
        <v>1354</v>
      </c>
      <c r="C58" s="2197"/>
      <c r="D58" s="945"/>
      <c r="E58" s="946">
        <v>690000</v>
      </c>
      <c r="F58" s="2222" t="s">
        <v>1215</v>
      </c>
      <c r="G58" s="2223"/>
      <c r="H58" s="2223"/>
      <c r="I58" s="2223"/>
      <c r="J58" s="2224"/>
      <c r="K58" s="947" t="s">
        <v>1216</v>
      </c>
    </row>
    <row r="59" spans="2:13" ht="19.149999999999999" customHeight="1" x14ac:dyDescent="0.45">
      <c r="B59" s="2196" t="s">
        <v>1355</v>
      </c>
      <c r="C59" s="2197"/>
      <c r="D59" s="945"/>
      <c r="E59" s="946">
        <v>10000</v>
      </c>
      <c r="F59" s="2222" t="s">
        <v>1217</v>
      </c>
      <c r="G59" s="2223"/>
      <c r="H59" s="2223"/>
      <c r="I59" s="2223"/>
      <c r="J59" s="2224"/>
      <c r="K59" s="947" t="s">
        <v>1218</v>
      </c>
    </row>
    <row r="60" spans="2:13" ht="19.149999999999999" customHeight="1" x14ac:dyDescent="0.45">
      <c r="B60" s="2198" t="s">
        <v>1360</v>
      </c>
      <c r="C60" s="2199"/>
      <c r="D60" s="945"/>
      <c r="E60" s="946">
        <v>289</v>
      </c>
      <c r="F60" s="2231" t="s">
        <v>1219</v>
      </c>
      <c r="G60" s="2232"/>
      <c r="H60" s="2232"/>
      <c r="I60" s="2232"/>
      <c r="J60" s="2233"/>
      <c r="K60" s="947" t="s">
        <v>1220</v>
      </c>
    </row>
    <row r="61" spans="2:13" ht="19.149999999999999" customHeight="1" thickBot="1" x14ac:dyDescent="0.45">
      <c r="B61" s="2200" t="s">
        <v>1205</v>
      </c>
      <c r="C61" s="2201"/>
      <c r="D61" s="2201"/>
      <c r="E61" s="2201"/>
      <c r="F61" s="2201"/>
      <c r="G61" s="2201"/>
      <c r="H61" s="2201"/>
      <c r="I61" s="2201"/>
      <c r="J61" s="2201"/>
      <c r="K61" s="2201"/>
      <c r="L61"/>
    </row>
    <row r="62" spans="2:13" ht="25.15" customHeight="1" thickTop="1" x14ac:dyDescent="0.45">
      <c r="B62" s="2234" t="s">
        <v>205</v>
      </c>
      <c r="C62" s="2235"/>
      <c r="D62" s="359"/>
      <c r="E62" s="358">
        <f>SUM($E$57:$E$61)</f>
        <v>1700289</v>
      </c>
      <c r="F62" s="804"/>
      <c r="G62" s="2218"/>
      <c r="H62" s="2218"/>
      <c r="I62" s="2218"/>
      <c r="J62" s="2218"/>
      <c r="K62" s="2219"/>
      <c r="L62" s="526"/>
    </row>
    <row r="63" spans="2:13" ht="16.899999999999999" customHeight="1" x14ac:dyDescent="0.4">
      <c r="B63" s="348"/>
      <c r="C63" s="353"/>
      <c r="D63" s="353"/>
      <c r="E63" s="353"/>
      <c r="F63" s="353"/>
      <c r="G63" s="353"/>
      <c r="H63" s="353"/>
      <c r="I63" s="353"/>
      <c r="J63" s="353"/>
      <c r="K63" s="353"/>
    </row>
    <row r="64" spans="2:13" ht="8.4499999999999993" customHeight="1" x14ac:dyDescent="0.4">
      <c r="B64" s="353"/>
      <c r="C64" s="353"/>
      <c r="D64" s="353"/>
      <c r="E64" s="353"/>
      <c r="F64" s="353"/>
      <c r="G64" s="353"/>
      <c r="H64" s="353"/>
      <c r="I64" s="353"/>
      <c r="J64" s="353"/>
      <c r="K64" s="353"/>
    </row>
    <row r="65" spans="2:12" s="402" customFormat="1" ht="18" customHeight="1" x14ac:dyDescent="0.45">
      <c r="B65" s="399"/>
      <c r="C65" s="400"/>
      <c r="D65" s="400"/>
      <c r="E65" s="400"/>
      <c r="F65" s="400"/>
      <c r="G65" s="403"/>
      <c r="H65" s="404"/>
      <c r="I65" s="405"/>
      <c r="J65" s="405"/>
      <c r="K65" s="405"/>
      <c r="L65" s="406"/>
    </row>
    <row r="66" spans="2:12" s="402" customFormat="1" ht="18" customHeight="1" x14ac:dyDescent="0.45">
      <c r="B66" s="407"/>
      <c r="C66" s="407" t="s">
        <v>1365</v>
      </c>
      <c r="D66" s="407"/>
      <c r="E66" s="407"/>
      <c r="F66" s="407"/>
      <c r="G66" s="407"/>
      <c r="H66" s="407"/>
      <c r="I66" s="528" t="s">
        <v>1370</v>
      </c>
      <c r="J66" s="407"/>
      <c r="L66" s="408"/>
    </row>
    <row r="67" spans="2:12" s="402" customFormat="1" ht="18" customHeight="1" x14ac:dyDescent="0.45">
      <c r="B67" s="517"/>
      <c r="C67" s="410" t="s">
        <v>1320</v>
      </c>
      <c r="D67" s="411"/>
      <c r="E67" s="411"/>
      <c r="F67" s="805"/>
      <c r="G67" s="412"/>
      <c r="H67" s="412"/>
      <c r="I67" s="410" t="s">
        <v>1353</v>
      </c>
      <c r="J67" s="411"/>
      <c r="K67" s="413"/>
      <c r="L67" s="520"/>
    </row>
    <row r="68" spans="2:12" s="402" customFormat="1" ht="18" customHeight="1" x14ac:dyDescent="0.45">
      <c r="B68" s="517"/>
      <c r="C68" s="410" t="s">
        <v>1321</v>
      </c>
      <c r="D68" s="411"/>
      <c r="E68" s="411"/>
      <c r="F68" s="805"/>
      <c r="G68" s="412"/>
      <c r="H68" s="412"/>
      <c r="I68" s="410" t="s">
        <v>1354</v>
      </c>
      <c r="J68" s="411"/>
      <c r="K68" s="413"/>
      <c r="L68" s="520"/>
    </row>
    <row r="69" spans="2:12" s="402" customFormat="1" ht="18" customHeight="1" x14ac:dyDescent="0.45">
      <c r="B69" s="517"/>
      <c r="C69" s="410" t="s">
        <v>1322</v>
      </c>
      <c r="D69" s="411"/>
      <c r="E69" s="411"/>
      <c r="F69" s="805"/>
      <c r="G69" s="412"/>
      <c r="H69" s="412"/>
      <c r="I69" s="410" t="s">
        <v>1355</v>
      </c>
      <c r="J69" s="411"/>
      <c r="K69" s="413"/>
      <c r="L69" s="520"/>
    </row>
    <row r="70" spans="2:12" s="402" customFormat="1" ht="18" customHeight="1" x14ac:dyDescent="0.45">
      <c r="B70" s="517"/>
      <c r="C70" s="414" t="s">
        <v>1323</v>
      </c>
      <c r="D70" s="415"/>
      <c r="E70" s="415"/>
      <c r="F70" s="806"/>
      <c r="G70" s="412"/>
      <c r="H70" s="412"/>
      <c r="I70" s="414" t="s">
        <v>1356</v>
      </c>
      <c r="J70" s="415"/>
      <c r="K70" s="413"/>
      <c r="L70" s="520"/>
    </row>
    <row r="71" spans="2:12" s="402" customFormat="1" ht="18" customHeight="1" x14ac:dyDescent="0.45">
      <c r="B71" s="517"/>
      <c r="C71" s="414" t="s">
        <v>1324</v>
      </c>
      <c r="D71" s="415"/>
      <c r="E71" s="415"/>
      <c r="F71" s="806"/>
      <c r="G71" s="412"/>
      <c r="H71" s="412"/>
      <c r="I71" s="414" t="s">
        <v>1357</v>
      </c>
      <c r="J71" s="415"/>
      <c r="K71" s="413"/>
      <c r="L71" s="520"/>
    </row>
    <row r="72" spans="2:12" s="402" customFormat="1" ht="18" customHeight="1" x14ac:dyDescent="0.45">
      <c r="B72" s="517"/>
      <c r="C72" s="414" t="s">
        <v>1325</v>
      </c>
      <c r="D72" s="415"/>
      <c r="E72" s="415"/>
      <c r="F72" s="806"/>
      <c r="G72" s="412"/>
      <c r="H72" s="412"/>
      <c r="I72" s="414" t="s">
        <v>1358</v>
      </c>
      <c r="J72" s="415"/>
      <c r="K72" s="413"/>
      <c r="L72" s="520"/>
    </row>
    <row r="73" spans="2:12" s="402" customFormat="1" ht="18" customHeight="1" x14ac:dyDescent="0.45">
      <c r="B73" s="517"/>
      <c r="C73" s="414" t="s">
        <v>1327</v>
      </c>
      <c r="D73" s="415"/>
      <c r="E73" s="415"/>
      <c r="F73" s="806"/>
      <c r="G73" s="412"/>
      <c r="H73" s="412"/>
      <c r="I73" s="414" t="s">
        <v>1359</v>
      </c>
      <c r="J73" s="415"/>
      <c r="K73" s="413"/>
      <c r="L73" s="520"/>
    </row>
    <row r="74" spans="2:12" ht="18" customHeight="1" x14ac:dyDescent="0.45">
      <c r="B74" s="517"/>
      <c r="C74" s="414" t="s">
        <v>1329</v>
      </c>
      <c r="D74" s="415"/>
      <c r="E74" s="415"/>
      <c r="F74" s="806"/>
      <c r="G74" s="412"/>
      <c r="H74" s="412"/>
      <c r="I74" s="414" t="s">
        <v>1360</v>
      </c>
      <c r="J74" s="415"/>
      <c r="K74" s="413"/>
      <c r="L74" s="520"/>
    </row>
    <row r="75" spans="2:12" ht="18" customHeight="1" x14ac:dyDescent="0.4">
      <c r="B75" s="517"/>
      <c r="C75" s="414" t="s">
        <v>1331</v>
      </c>
      <c r="D75" s="415"/>
      <c r="E75" s="415"/>
      <c r="F75" s="806"/>
      <c r="I75" s="416"/>
    </row>
    <row r="76" spans="2:12" ht="18" customHeight="1" x14ac:dyDescent="0.4">
      <c r="B76" s="517"/>
      <c r="C76" s="414" t="s">
        <v>1333</v>
      </c>
      <c r="D76" s="415"/>
      <c r="E76" s="415"/>
      <c r="F76" s="806"/>
      <c r="I76" s="416"/>
    </row>
    <row r="77" spans="2:12" ht="18" customHeight="1" x14ac:dyDescent="0.4">
      <c r="B77" s="517"/>
      <c r="C77" s="414" t="s">
        <v>1335</v>
      </c>
      <c r="D77" s="415"/>
      <c r="E77" s="415"/>
      <c r="F77" s="806"/>
      <c r="I77" s="416"/>
    </row>
    <row r="78" spans="2:12" ht="18" customHeight="1" x14ac:dyDescent="0.4">
      <c r="B78" s="517"/>
      <c r="C78" s="414" t="s">
        <v>1337</v>
      </c>
      <c r="D78" s="415"/>
      <c r="E78" s="415"/>
      <c r="F78" s="806"/>
      <c r="I78" s="416"/>
    </row>
    <row r="79" spans="2:12" ht="18" customHeight="1" x14ac:dyDescent="0.4">
      <c r="B79" s="517"/>
      <c r="C79" s="414" t="s">
        <v>1339</v>
      </c>
      <c r="D79" s="415"/>
      <c r="E79" s="415"/>
      <c r="F79" s="806"/>
      <c r="I79" s="416"/>
    </row>
    <row r="80" spans="2:12" ht="18" customHeight="1" x14ac:dyDescent="0.4">
      <c r="B80" s="517"/>
      <c r="C80" s="414" t="s">
        <v>1341</v>
      </c>
      <c r="D80" s="415"/>
      <c r="E80" s="415"/>
      <c r="F80" s="806"/>
      <c r="I80" s="416"/>
    </row>
    <row r="81" spans="1:11" ht="18" customHeight="1" x14ac:dyDescent="0.4">
      <c r="B81" s="517"/>
      <c r="C81" s="414" t="s">
        <v>1343</v>
      </c>
      <c r="D81" s="415"/>
      <c r="E81" s="415"/>
      <c r="F81" s="806"/>
      <c r="I81" s="416"/>
    </row>
    <row r="82" spans="1:11" ht="18" customHeight="1" x14ac:dyDescent="0.4">
      <c r="B82" s="517"/>
      <c r="C82" s="414" t="s">
        <v>1345</v>
      </c>
      <c r="D82" s="415"/>
      <c r="E82" s="415"/>
      <c r="F82" s="806"/>
      <c r="I82" s="416"/>
    </row>
    <row r="83" spans="1:11" ht="18" customHeight="1" x14ac:dyDescent="0.4">
      <c r="B83" s="517"/>
      <c r="C83" s="414" t="s">
        <v>1347</v>
      </c>
      <c r="D83" s="415"/>
      <c r="E83" s="415"/>
      <c r="F83" s="806"/>
      <c r="I83" s="416"/>
    </row>
    <row r="84" spans="1:11" ht="18" customHeight="1" x14ac:dyDescent="0.4">
      <c r="B84" s="517"/>
      <c r="C84" s="414" t="s">
        <v>1349</v>
      </c>
      <c r="D84" s="415"/>
      <c r="E84" s="415"/>
      <c r="F84" s="806"/>
      <c r="I84" s="416"/>
    </row>
    <row r="85" spans="1:11" ht="18" customHeight="1" x14ac:dyDescent="0.4">
      <c r="B85" s="517"/>
      <c r="C85" s="414" t="s">
        <v>1351</v>
      </c>
      <c r="D85" s="415"/>
      <c r="E85" s="415"/>
      <c r="F85" s="806"/>
      <c r="I85" s="416"/>
    </row>
    <row r="86" spans="1:11" x14ac:dyDescent="0.4">
      <c r="B86" s="517"/>
      <c r="C86" s="414" t="s">
        <v>1352</v>
      </c>
      <c r="D86" s="415"/>
      <c r="E86" s="415"/>
      <c r="F86" s="806"/>
      <c r="I86" s="416"/>
    </row>
    <row r="87" spans="1:11" s="361" customFormat="1" ht="19.5" customHeight="1" thickBot="1" x14ac:dyDescent="0.5">
      <c r="A87" s="360"/>
      <c r="B87" s="354" t="s">
        <v>1371</v>
      </c>
      <c r="C87" s="362"/>
      <c r="D87" s="362"/>
      <c r="E87" s="362"/>
      <c r="F87" s="362"/>
      <c r="G87" s="362"/>
    </row>
    <row r="88" spans="1:11" s="361" customFormat="1" ht="19.5" customHeight="1" x14ac:dyDescent="0.45">
      <c r="A88" s="360"/>
      <c r="B88" s="2239" t="s">
        <v>1222</v>
      </c>
      <c r="C88" s="2240"/>
      <c r="D88" s="363"/>
      <c r="E88" s="2244" t="s">
        <v>1223</v>
      </c>
      <c r="F88" s="2244"/>
      <c r="G88" s="2244"/>
      <c r="H88" s="2244"/>
      <c r="I88" s="2244"/>
      <c r="J88" s="2244"/>
      <c r="K88" s="2245"/>
    </row>
    <row r="89" spans="1:11" s="361" customFormat="1" ht="19.5" customHeight="1" x14ac:dyDescent="0.45">
      <c r="A89" s="360"/>
      <c r="B89" s="2241"/>
      <c r="C89" s="1761"/>
      <c r="D89" s="364"/>
      <c r="E89" s="364"/>
      <c r="F89" s="364"/>
      <c r="G89" s="521"/>
      <c r="H89" s="2246" t="s">
        <v>1224</v>
      </c>
      <c r="I89" s="2247"/>
      <c r="J89" s="2246" t="s">
        <v>1225</v>
      </c>
      <c r="K89" s="2248"/>
    </row>
    <row r="90" spans="1:11" s="361" customFormat="1" ht="19.5" customHeight="1" thickBot="1" x14ac:dyDescent="0.5">
      <c r="A90" s="360"/>
      <c r="B90" s="2242"/>
      <c r="C90" s="2243"/>
      <c r="D90" s="365"/>
      <c r="E90" s="366" t="s">
        <v>1226</v>
      </c>
      <c r="F90" s="2202" t="s">
        <v>1227</v>
      </c>
      <c r="G90" s="2203"/>
      <c r="H90" s="366" t="s">
        <v>1226</v>
      </c>
      <c r="I90" s="366" t="s">
        <v>1227</v>
      </c>
      <c r="J90" s="366" t="s">
        <v>1226</v>
      </c>
      <c r="K90" s="367" t="s">
        <v>1227</v>
      </c>
    </row>
    <row r="91" spans="1:11" s="361" customFormat="1" ht="19.5" customHeight="1" x14ac:dyDescent="0.45">
      <c r="A91" s="360"/>
      <c r="B91" s="368" t="s">
        <v>1228</v>
      </c>
      <c r="C91" s="369" t="s">
        <v>1361</v>
      </c>
      <c r="D91" s="370"/>
      <c r="E91" s="818">
        <f>SUMIFS($G$10:$G$50,$C$10:$C$50,C91)</f>
        <v>1800000</v>
      </c>
      <c r="F91" s="2204"/>
      <c r="G91" s="2205"/>
      <c r="H91" s="371">
        <f>SUMIFS($G$10:$G$50,$C$10:$C$50,C91,$D$10:$D$50,"&gt;=4")</f>
        <v>1800000</v>
      </c>
      <c r="I91" s="372"/>
      <c r="J91" s="373">
        <f>SUMIFS($G$10:$G$50,$C$10:$C$50,C91,$D$10:$D$50,"&lt;=3")</f>
        <v>0</v>
      </c>
      <c r="K91" s="374"/>
    </row>
    <row r="92" spans="1:11" s="361" customFormat="1" ht="19.5" customHeight="1" x14ac:dyDescent="0.45">
      <c r="A92" s="360"/>
      <c r="B92" s="375"/>
      <c r="C92" s="376" t="s">
        <v>1363</v>
      </c>
      <c r="D92" s="376"/>
      <c r="E92" s="377">
        <f>SUMIFS($G$10:$G$50,$C$10:$C$50,C92)</f>
        <v>4800000</v>
      </c>
      <c r="F92" s="2206"/>
      <c r="G92" s="2207"/>
      <c r="H92" s="377">
        <f>SUMIFS($G$10:$G$50,$C$10:$C$50,C92,$D$10:$D$50,"&gt;=4")</f>
        <v>4800000</v>
      </c>
      <c r="I92" s="378"/>
      <c r="J92" s="379">
        <f>SUMIFS($G$10:$G$50,$C$10:$C$50,C92,$D$10:$D$50,"&lt;=3")</f>
        <v>0</v>
      </c>
      <c r="K92" s="380"/>
    </row>
    <row r="93" spans="1:11" s="361" customFormat="1" ht="19.5" customHeight="1" thickBot="1" x14ac:dyDescent="0.5">
      <c r="A93" s="360"/>
      <c r="B93" s="381"/>
      <c r="C93" s="382" t="s">
        <v>1364</v>
      </c>
      <c r="D93" s="383"/>
      <c r="E93" s="384">
        <f>SUMIFS($G$10:$G$50,$C$10:$C$50,C93)</f>
        <v>20290</v>
      </c>
      <c r="F93" s="2206"/>
      <c r="G93" s="2207"/>
      <c r="H93" s="384">
        <f>SUMIFS($G$10:$G$50,$C$10:$C$50,C93,$D$10:$D$50,"&gt;=4")</f>
        <v>20170</v>
      </c>
      <c r="I93" s="385"/>
      <c r="J93" s="386">
        <f>SUMIFS($G$10:$G$50,$C$10:$C$50,C93,$D$10:$D$50,"&lt;=3")</f>
        <v>120</v>
      </c>
      <c r="K93" s="387"/>
    </row>
    <row r="94" spans="1:11" s="361" customFormat="1" ht="19.5" customHeight="1" x14ac:dyDescent="0.45">
      <c r="A94" s="360"/>
      <c r="B94" s="368" t="s">
        <v>1191</v>
      </c>
      <c r="C94" s="369" t="s">
        <v>1323</v>
      </c>
      <c r="D94" s="369"/>
      <c r="E94" s="372"/>
      <c r="F94" s="2208">
        <f t="shared" ref="F94:F110" si="1">SUMIFS($H$10:$H$50,$C$10:$C$50,C94)</f>
        <v>2550000</v>
      </c>
      <c r="G94" s="2209"/>
      <c r="H94" s="372"/>
      <c r="I94" s="388">
        <f>SUMIFS($H$10:$H$50,$C$10:$C$50,C94,$D$10:$D$50,"&gt;=4")</f>
        <v>2400000</v>
      </c>
      <c r="J94" s="372"/>
      <c r="K94" s="389">
        <f>SUMIFS($H$10:$H$39,$C$10:$C$39,C94,$D$10:$D$39,"&lt;=3")</f>
        <v>0</v>
      </c>
    </row>
    <row r="95" spans="1:11" s="361" customFormat="1" ht="19.5" customHeight="1" thickBot="1" x14ac:dyDescent="0.5">
      <c r="A95" s="360"/>
      <c r="B95" s="381"/>
      <c r="C95" s="382" t="s">
        <v>1324</v>
      </c>
      <c r="D95" s="382"/>
      <c r="E95" s="385"/>
      <c r="F95" s="2210">
        <f t="shared" si="1"/>
        <v>100000</v>
      </c>
      <c r="G95" s="2211"/>
      <c r="H95" s="385"/>
      <c r="I95" s="390">
        <f>SUMIFS($H$10:$H$50,$C$10:$C$50,C95,$D$10:$D$50,"&gt;=4")</f>
        <v>100000</v>
      </c>
      <c r="J95" s="385"/>
      <c r="K95" s="391">
        <f>SUMIFS($H$10:$H$39,$C$10:$C$39,C95,$D$10:$D$39,"&lt;=3")</f>
        <v>0</v>
      </c>
    </row>
    <row r="96" spans="1:11" s="361" customFormat="1" ht="19.5" customHeight="1" x14ac:dyDescent="0.45">
      <c r="A96" s="360"/>
      <c r="B96" s="368" t="s">
        <v>1229</v>
      </c>
      <c r="C96" s="369" t="s">
        <v>1325</v>
      </c>
      <c r="D96" s="369"/>
      <c r="E96" s="372"/>
      <c r="F96" s="2208">
        <f t="shared" si="1"/>
        <v>250000</v>
      </c>
      <c r="G96" s="2209"/>
      <c r="H96" s="372"/>
      <c r="I96" s="392">
        <f>SUMIFS($H$10:$H$50,$C$10:$C$50,C96,$D$10:$D$50,"&gt;=4")</f>
        <v>250000</v>
      </c>
      <c r="J96" s="372"/>
      <c r="K96" s="393">
        <f>SUMIFS($H$10:$H$39,$C$10:$C$39,C96,$D$10:$D$39,"&lt;=3")</f>
        <v>0</v>
      </c>
    </row>
    <row r="97" spans="1:15" s="361" customFormat="1" ht="19.5" customHeight="1" x14ac:dyDescent="0.45">
      <c r="A97" s="360"/>
      <c r="B97" s="375"/>
      <c r="C97" s="376" t="s">
        <v>1326</v>
      </c>
      <c r="D97" s="376"/>
      <c r="E97" s="378"/>
      <c r="F97" s="2212">
        <f t="shared" si="1"/>
        <v>655000</v>
      </c>
      <c r="G97" s="2213"/>
      <c r="H97" s="378"/>
      <c r="I97" s="377">
        <f>SUMIFS($H$10:$H$50,$C$10:$C$50,C97,$D$10:$D$50,"&gt;=4")</f>
        <v>405000</v>
      </c>
      <c r="J97" s="378"/>
      <c r="K97" s="394">
        <f>SUMIFS($H$10:$H$39,$C$10:$C$39,C97,$D$10:$D$39,"&lt;=3")</f>
        <v>250000</v>
      </c>
    </row>
    <row r="98" spans="1:15" s="361" customFormat="1" ht="19.5" customHeight="1" x14ac:dyDescent="0.45">
      <c r="A98" s="360"/>
      <c r="B98" s="375"/>
      <c r="C98" s="376" t="s">
        <v>1328</v>
      </c>
      <c r="D98" s="376"/>
      <c r="E98" s="378"/>
      <c r="F98" s="2212">
        <f t="shared" si="1"/>
        <v>120000</v>
      </c>
      <c r="G98" s="2213"/>
      <c r="H98" s="378"/>
      <c r="I98" s="377">
        <f>SUMIFS($H$10:$H$50,$C$10:$C$50,C98,$D$10:$D$50,"&gt;=4")</f>
        <v>80000</v>
      </c>
      <c r="J98" s="378"/>
      <c r="K98" s="394">
        <f>SUMIFS($H$10:$H$39,$C$10:$C$39,C98,$D$10:$D$39,"&lt;=3")</f>
        <v>40000</v>
      </c>
    </row>
    <row r="99" spans="1:15" s="361" customFormat="1" ht="19.5" customHeight="1" x14ac:dyDescent="0.45">
      <c r="A99" s="360"/>
      <c r="B99" s="375"/>
      <c r="C99" s="376" t="s">
        <v>1330</v>
      </c>
      <c r="D99" s="376"/>
      <c r="E99" s="378"/>
      <c r="F99" s="2212">
        <f t="shared" si="1"/>
        <v>380000</v>
      </c>
      <c r="G99" s="2213"/>
      <c r="H99" s="378"/>
      <c r="I99" s="377">
        <f t="shared" ref="I99:I109" si="2">SUMIFS($H$10:$H$50,$C$10:$C$50,C99,$D$10:$D$50,"&gt;=4")</f>
        <v>180000</v>
      </c>
      <c r="J99" s="378"/>
      <c r="K99" s="394">
        <f t="shared" ref="K99:K109" si="3">SUMIFS($H$10:$H$39,$C$10:$C$39,C99,$D$10:$D$39,"&lt;=3")</f>
        <v>200000</v>
      </c>
    </row>
    <row r="100" spans="1:15" s="361" customFormat="1" ht="19.5" customHeight="1" x14ac:dyDescent="0.45">
      <c r="A100" s="360"/>
      <c r="B100" s="375"/>
      <c r="C100" s="376" t="s">
        <v>1332</v>
      </c>
      <c r="D100" s="376"/>
      <c r="E100" s="378"/>
      <c r="F100" s="2212">
        <f t="shared" si="1"/>
        <v>400000</v>
      </c>
      <c r="G100" s="2213"/>
      <c r="H100" s="378"/>
      <c r="I100" s="377">
        <f t="shared" si="2"/>
        <v>400000</v>
      </c>
      <c r="J100" s="378"/>
      <c r="K100" s="394">
        <f t="shared" si="3"/>
        <v>0</v>
      </c>
    </row>
    <row r="101" spans="1:15" s="361" customFormat="1" ht="19.5" customHeight="1" x14ac:dyDescent="0.45">
      <c r="A101" s="360"/>
      <c r="B101" s="375"/>
      <c r="C101" s="376" t="s">
        <v>1334</v>
      </c>
      <c r="D101" s="376"/>
      <c r="E101" s="378"/>
      <c r="F101" s="2212">
        <f t="shared" si="1"/>
        <v>30000</v>
      </c>
      <c r="G101" s="2213"/>
      <c r="H101" s="378"/>
      <c r="I101" s="377">
        <f t="shared" si="2"/>
        <v>30000</v>
      </c>
      <c r="J101" s="378"/>
      <c r="K101" s="394">
        <f t="shared" si="3"/>
        <v>0</v>
      </c>
    </row>
    <row r="102" spans="1:15" s="361" customFormat="1" ht="19.5" customHeight="1" x14ac:dyDescent="0.45">
      <c r="A102" s="360"/>
      <c r="B102" s="375"/>
      <c r="C102" s="376" t="s">
        <v>1336</v>
      </c>
      <c r="D102" s="376"/>
      <c r="E102" s="378"/>
      <c r="F102" s="2212">
        <f t="shared" si="1"/>
        <v>100000</v>
      </c>
      <c r="G102" s="2213"/>
      <c r="H102" s="378"/>
      <c r="I102" s="377">
        <f t="shared" si="2"/>
        <v>0</v>
      </c>
      <c r="J102" s="378"/>
      <c r="K102" s="394">
        <f t="shared" si="3"/>
        <v>100000</v>
      </c>
    </row>
    <row r="103" spans="1:15" s="361" customFormat="1" ht="19.5" customHeight="1" x14ac:dyDescent="0.45">
      <c r="A103" s="360"/>
      <c r="B103" s="375"/>
      <c r="C103" s="376" t="s">
        <v>1338</v>
      </c>
      <c r="D103" s="376"/>
      <c r="E103" s="378"/>
      <c r="F103" s="2212">
        <f t="shared" si="1"/>
        <v>0</v>
      </c>
      <c r="G103" s="2213"/>
      <c r="H103" s="378"/>
      <c r="I103" s="377">
        <f t="shared" si="2"/>
        <v>0</v>
      </c>
      <c r="J103" s="378"/>
      <c r="K103" s="394">
        <f t="shared" si="3"/>
        <v>0</v>
      </c>
    </row>
    <row r="104" spans="1:15" s="361" customFormat="1" ht="19.5" customHeight="1" x14ac:dyDescent="0.45">
      <c r="A104" s="360"/>
      <c r="B104" s="375"/>
      <c r="C104" s="376" t="s">
        <v>1340</v>
      </c>
      <c r="D104" s="376"/>
      <c r="E104" s="378"/>
      <c r="F104" s="2212">
        <f t="shared" si="1"/>
        <v>60000</v>
      </c>
      <c r="G104" s="2213"/>
      <c r="H104" s="378"/>
      <c r="I104" s="377">
        <f>SUMIFS($H$10:$H$50,$C$10:$C$50,C104,$D$10:$D$50,"&gt;=4")</f>
        <v>60000</v>
      </c>
      <c r="J104" s="378"/>
      <c r="K104" s="394">
        <f t="shared" si="3"/>
        <v>0</v>
      </c>
    </row>
    <row r="105" spans="1:15" s="361" customFormat="1" ht="19.5" customHeight="1" x14ac:dyDescent="0.45">
      <c r="A105" s="360"/>
      <c r="B105" s="375"/>
      <c r="C105" s="376" t="s">
        <v>1342</v>
      </c>
      <c r="D105" s="376"/>
      <c r="E105" s="378"/>
      <c r="F105" s="2212">
        <f t="shared" si="1"/>
        <v>50001</v>
      </c>
      <c r="G105" s="2213"/>
      <c r="H105" s="378"/>
      <c r="I105" s="377">
        <f t="shared" si="2"/>
        <v>0</v>
      </c>
      <c r="J105" s="378"/>
      <c r="K105" s="394">
        <f t="shared" si="3"/>
        <v>50001</v>
      </c>
    </row>
    <row r="106" spans="1:15" s="361" customFormat="1" ht="19.5" customHeight="1" x14ac:dyDescent="0.45">
      <c r="A106" s="360"/>
      <c r="B106" s="375"/>
      <c r="C106" s="376" t="s">
        <v>1344</v>
      </c>
      <c r="D106" s="376"/>
      <c r="E106" s="378"/>
      <c r="F106" s="2212">
        <f t="shared" si="1"/>
        <v>0</v>
      </c>
      <c r="G106" s="2213"/>
      <c r="H106" s="378"/>
      <c r="I106" s="377">
        <f t="shared" si="2"/>
        <v>0</v>
      </c>
      <c r="J106" s="378"/>
      <c r="K106" s="394">
        <f t="shared" si="3"/>
        <v>0</v>
      </c>
    </row>
    <row r="107" spans="1:15" s="361" customFormat="1" ht="19.5" customHeight="1" x14ac:dyDescent="0.45">
      <c r="A107" s="360"/>
      <c r="B107" s="375"/>
      <c r="C107" s="376" t="s">
        <v>1346</v>
      </c>
      <c r="D107" s="376"/>
      <c r="E107" s="378"/>
      <c r="F107" s="2212">
        <f t="shared" si="1"/>
        <v>2000</v>
      </c>
      <c r="G107" s="2213"/>
      <c r="H107" s="378"/>
      <c r="I107" s="377">
        <f t="shared" si="2"/>
        <v>0</v>
      </c>
      <c r="J107" s="378"/>
      <c r="K107" s="394">
        <f t="shared" si="3"/>
        <v>2000</v>
      </c>
    </row>
    <row r="108" spans="1:15" s="361" customFormat="1" ht="19.5" customHeight="1" x14ac:dyDescent="0.45">
      <c r="A108" s="360"/>
      <c r="B108" s="375"/>
      <c r="C108" s="376" t="s">
        <v>1348</v>
      </c>
      <c r="D108" s="376"/>
      <c r="E108" s="378"/>
      <c r="F108" s="2212">
        <f t="shared" si="1"/>
        <v>50000</v>
      </c>
      <c r="G108" s="2213"/>
      <c r="H108" s="378"/>
      <c r="I108" s="377">
        <f t="shared" si="2"/>
        <v>0</v>
      </c>
      <c r="J108" s="378"/>
      <c r="K108" s="394">
        <f t="shared" si="3"/>
        <v>50000</v>
      </c>
    </row>
    <row r="109" spans="1:15" s="361" customFormat="1" ht="19.5" customHeight="1" x14ac:dyDescent="0.45">
      <c r="A109" s="360"/>
      <c r="B109" s="375"/>
      <c r="C109" s="376" t="s">
        <v>1350</v>
      </c>
      <c r="D109" s="376"/>
      <c r="E109" s="378"/>
      <c r="F109" s="2212">
        <f t="shared" si="1"/>
        <v>100000</v>
      </c>
      <c r="G109" s="2213"/>
      <c r="H109" s="378"/>
      <c r="I109" s="377">
        <f t="shared" si="2"/>
        <v>0</v>
      </c>
      <c r="J109" s="378"/>
      <c r="K109" s="394">
        <f t="shared" si="3"/>
        <v>100000</v>
      </c>
    </row>
    <row r="110" spans="1:15" s="361" customFormat="1" ht="19.5" customHeight="1" thickBot="1" x14ac:dyDescent="0.5">
      <c r="A110" s="360"/>
      <c r="B110" s="381"/>
      <c r="C110" s="382" t="s">
        <v>1352</v>
      </c>
      <c r="D110" s="382"/>
      <c r="E110" s="385"/>
      <c r="F110" s="2210">
        <f t="shared" si="1"/>
        <v>73000</v>
      </c>
      <c r="G110" s="2211"/>
      <c r="H110" s="385"/>
      <c r="I110" s="390">
        <f>SUMIFS($H$10:$H$50,$C$10:$C$50,C110,$D$10:$D$50,"&gt;=4")</f>
        <v>0</v>
      </c>
      <c r="J110" s="385"/>
      <c r="K110" s="391">
        <f>SUMIFS($H$10:$H$39,$C$10:$C$39,C110,$D$10:$D$39,"&lt;=3")</f>
        <v>50000</v>
      </c>
    </row>
    <row r="111" spans="1:15" s="361" customFormat="1" ht="19.5" customHeight="1" thickBot="1" x14ac:dyDescent="0.5">
      <c r="A111" s="360"/>
      <c r="B111" s="381" t="s">
        <v>1230</v>
      </c>
      <c r="C111" s="383" t="s">
        <v>1231</v>
      </c>
      <c r="D111" s="383"/>
      <c r="E111" s="395"/>
      <c r="F111" s="2227">
        <f>'金銭出納簿（今年度）（参考）'!$I$51</f>
        <v>1700289</v>
      </c>
      <c r="G111" s="2228"/>
      <c r="H111" s="395"/>
      <c r="I111" s="820"/>
      <c r="J111" s="395"/>
      <c r="K111" s="522">
        <f>'金銭出納簿（今年度）（参考）'!$I$51</f>
        <v>1700289</v>
      </c>
    </row>
    <row r="112" spans="1:15" s="361" customFormat="1" ht="24.6" customHeight="1" thickBot="1" x14ac:dyDescent="0.5">
      <c r="A112" s="360"/>
      <c r="B112" s="2192" t="s">
        <v>1232</v>
      </c>
      <c r="C112" s="2193"/>
      <c r="D112" s="396"/>
      <c r="E112" s="397">
        <f>SUM(E91:E93)</f>
        <v>6620290</v>
      </c>
      <c r="F112" s="2214">
        <f>SUM(F94:G111)</f>
        <v>6620290</v>
      </c>
      <c r="G112" s="2215"/>
      <c r="H112" s="397">
        <f>SUM(H91:H93)</f>
        <v>6620170</v>
      </c>
      <c r="I112" s="397">
        <f>SUM(I94:I111)</f>
        <v>3905000</v>
      </c>
      <c r="J112" s="397">
        <f>SUM(J91:J93)</f>
        <v>120</v>
      </c>
      <c r="K112" s="523">
        <f>SUM(K94:K111)</f>
        <v>2542290</v>
      </c>
      <c r="N112" s="360"/>
      <c r="O112" s="398"/>
    </row>
    <row r="113" spans="2:12" ht="18.75" x14ac:dyDescent="0.45">
      <c r="B113" s="399"/>
      <c r="C113" s="400"/>
      <c r="D113" s="400"/>
      <c r="E113" s="400"/>
      <c r="F113" s="400"/>
      <c r="G113" s="401"/>
      <c r="H113" s="361"/>
      <c r="I113" s="361"/>
      <c r="J113" s="361"/>
      <c r="K113" s="361"/>
      <c r="L113" s="361"/>
    </row>
  </sheetData>
  <mergeCells count="4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s>
  <phoneticPr fontId="3"/>
  <dataValidations count="6">
    <dataValidation type="list" allowBlank="1" showInputMessage="1" showErrorMessage="1" sqref="C10:C49 E10:E49">
      <formula1>$C$67:$C$86</formula1>
    </dataValidation>
    <dataValidation imeMode="off" allowBlank="1" showInputMessage="1" showErrorMessage="1" sqref="B10:B50 B61 G10:H49 J10:K49"/>
    <dataValidation type="list" allowBlank="1" showInputMessage="1" showErrorMessage="1" prompt="年度を選択" sqref="G3">
      <formula1>"令和7年度,令和8年度,令和9年度,令和10年度,令和11年度"</formula1>
    </dataValidation>
    <dataValidation type="list" allowBlank="1" showInputMessage="1" showErrorMessage="1" sqref="B57:B60">
      <formula1>$I$67:$I$74</formula1>
    </dataValidation>
    <dataValidation type="list" allowBlank="1" showInputMessage="1" showErrorMessage="1" sqref="F10:F49">
      <formula1>Ｉ.金銭出納簿の区分</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Zeros="0" view="pageBreakPreview" zoomScale="69" zoomScaleNormal="100" zoomScaleSheetLayoutView="100" workbookViewId="0">
      <selection activeCell="S8" sqref="S8"/>
    </sheetView>
  </sheetViews>
  <sheetFormatPr defaultColWidth="9" defaultRowHeight="16.5" x14ac:dyDescent="0.4"/>
  <cols>
    <col min="1" max="1" width="1.25" style="342" customWidth="1"/>
    <col min="2" max="2" width="16.375" style="342" customWidth="1"/>
    <col min="3" max="3" width="20.5" style="342" customWidth="1"/>
    <col min="4" max="4" width="6.625" style="342" hidden="1" customWidth="1"/>
    <col min="5" max="5" width="28.5" style="342" customWidth="1"/>
    <col min="6" max="6" width="7.75" style="342" customWidth="1"/>
    <col min="7" max="12" width="20.5" style="342" customWidth="1"/>
    <col min="13" max="13" width="10.875" style="342" customWidth="1"/>
    <col min="14" max="23" width="2.875" style="342" customWidth="1"/>
    <col min="24" max="16384" width="9" style="342"/>
  </cols>
  <sheetData>
    <row r="1" spans="2:14" s="339" customFormat="1" ht="17.25" customHeight="1" x14ac:dyDescent="0.45">
      <c r="B1" s="337" t="s">
        <v>1920</v>
      </c>
      <c r="C1" s="338"/>
      <c r="D1" s="338"/>
      <c r="E1" s="338"/>
      <c r="F1" s="338"/>
      <c r="G1" s="338"/>
      <c r="H1" s="338"/>
      <c r="K1" s="340"/>
    </row>
    <row r="2" spans="2:14" s="339" customFormat="1" ht="17.25" customHeight="1" x14ac:dyDescent="0.45">
      <c r="B2" s="337"/>
      <c r="C2" s="338"/>
      <c r="D2" s="338"/>
      <c r="E2" s="338"/>
      <c r="F2" s="338"/>
      <c r="G2" s="338"/>
      <c r="H2" s="338"/>
      <c r="K2" s="340"/>
    </row>
    <row r="3" spans="2:14" s="339" customFormat="1" ht="17.25" customHeight="1" x14ac:dyDescent="0.15">
      <c r="B3" s="337"/>
      <c r="C3" s="337"/>
      <c r="D3" s="519"/>
      <c r="E3" s="519"/>
      <c r="F3" s="519"/>
      <c r="G3" s="944"/>
      <c r="H3" s="341" t="s">
        <v>1167</v>
      </c>
      <c r="I3" s="341"/>
      <c r="K3" s="340"/>
    </row>
    <row r="4" spans="2:14" s="339" customFormat="1" ht="18.75" customHeight="1" x14ac:dyDescent="0.15">
      <c r="C4" s="519"/>
      <c r="D4" s="519"/>
      <c r="E4" s="519"/>
      <c r="F4" s="519"/>
      <c r="G4" s="2226" t="s">
        <v>2311</v>
      </c>
      <c r="H4" s="2226"/>
      <c r="I4" s="2226"/>
      <c r="K4" s="340" t="s">
        <v>1168</v>
      </c>
      <c r="L4" s="428" t="str">
        <f>はじめに!D5</f>
        <v>真庭集落協定</v>
      </c>
    </row>
    <row r="5" spans="2:14" s="339" customFormat="1" ht="18.75" customHeight="1" x14ac:dyDescent="0.15">
      <c r="B5" s="793" t="s">
        <v>1319</v>
      </c>
      <c r="C5" s="519"/>
      <c r="D5" s="519"/>
      <c r="E5" s="519"/>
      <c r="F5" s="519"/>
      <c r="G5" s="341"/>
      <c r="H5" s="341"/>
      <c r="K5" s="340"/>
      <c r="L5" s="524"/>
    </row>
    <row r="6" spans="2:14" s="339" customFormat="1" ht="27" customHeight="1" x14ac:dyDescent="0.15">
      <c r="B6" s="2229" t="s">
        <v>2274</v>
      </c>
      <c r="C6" s="2229"/>
      <c r="D6" s="2229"/>
      <c r="E6" s="2229"/>
      <c r="F6" s="2229"/>
      <c r="G6" s="2229"/>
      <c r="H6" s="2229"/>
      <c r="I6" s="2229"/>
      <c r="J6" s="2229"/>
      <c r="K6" s="2229"/>
      <c r="L6" s="2229"/>
      <c r="M6" s="2229"/>
      <c r="N6" s="2229"/>
    </row>
    <row r="7" spans="2:14" s="339" customFormat="1" ht="32.450000000000003" customHeight="1" x14ac:dyDescent="0.15">
      <c r="B7" s="2229" t="s">
        <v>2273</v>
      </c>
      <c r="C7" s="2229"/>
      <c r="D7" s="2229"/>
      <c r="E7" s="2229"/>
      <c r="F7" s="2229"/>
      <c r="G7" s="2229"/>
      <c r="H7" s="2229"/>
      <c r="I7" s="2229"/>
      <c r="J7" s="2229"/>
      <c r="K7" s="2229"/>
      <c r="L7" s="2229"/>
      <c r="M7" s="2229"/>
      <c r="N7" s="2229"/>
    </row>
    <row r="8" spans="2:14" s="339" customFormat="1" ht="28.5" customHeight="1" x14ac:dyDescent="0.15">
      <c r="B8" s="2230" t="s">
        <v>1278</v>
      </c>
      <c r="C8" s="2230"/>
      <c r="D8" s="2230"/>
      <c r="E8" s="2230"/>
      <c r="F8" s="2230"/>
      <c r="G8" s="2230"/>
      <c r="H8" s="2230"/>
      <c r="I8" s="2230"/>
      <c r="J8" s="2230"/>
      <c r="K8" s="2230"/>
      <c r="L8" s="2230"/>
      <c r="M8" s="2230"/>
      <c r="N8" s="2230"/>
    </row>
    <row r="9" spans="2:14" ht="23.45" customHeight="1" x14ac:dyDescent="0.4">
      <c r="B9" s="794" t="s">
        <v>1169</v>
      </c>
      <c r="C9" s="794" t="s">
        <v>1362</v>
      </c>
      <c r="D9" s="794" t="s">
        <v>1171</v>
      </c>
      <c r="E9" s="795" t="s">
        <v>1366</v>
      </c>
      <c r="F9" s="799" t="s">
        <v>1154</v>
      </c>
      <c r="G9" s="796" t="s">
        <v>1172</v>
      </c>
      <c r="H9" s="797" t="s">
        <v>1173</v>
      </c>
      <c r="I9" s="797" t="s">
        <v>1174</v>
      </c>
      <c r="J9" s="794" t="s">
        <v>1175</v>
      </c>
      <c r="K9" s="794" t="s">
        <v>1367</v>
      </c>
      <c r="L9" s="798" t="s">
        <v>1095</v>
      </c>
      <c r="M9" s="807" t="s">
        <v>1284</v>
      </c>
    </row>
    <row r="10" spans="2:14" ht="38.450000000000003" customHeight="1" x14ac:dyDescent="0.4">
      <c r="B10" s="938">
        <v>44287</v>
      </c>
      <c r="C10" s="939" t="s">
        <v>1320</v>
      </c>
      <c r="D10" s="940">
        <f>MONTH('金銭出納簿（今年度）（参考）'!$B10)</f>
        <v>4</v>
      </c>
      <c r="E10" s="941" t="s">
        <v>1176</v>
      </c>
      <c r="F10" s="800"/>
      <c r="G10" s="936">
        <v>1800000</v>
      </c>
      <c r="H10" s="937">
        <v>0</v>
      </c>
      <c r="I10" s="343">
        <f>G10-H10</f>
        <v>1800000</v>
      </c>
      <c r="J10" s="935"/>
      <c r="K10" s="935"/>
      <c r="L10" s="934" t="s">
        <v>1177</v>
      </c>
      <c r="M10" s="808"/>
    </row>
    <row r="11" spans="2:14" ht="19.149999999999999" customHeight="1" x14ac:dyDescent="0.4">
      <c r="B11" s="938">
        <v>44287</v>
      </c>
      <c r="C11" s="939" t="s">
        <v>1322</v>
      </c>
      <c r="D11" s="940">
        <f>MONTH('金銭出納簿（今年度）（参考）'!$B11)</f>
        <v>4</v>
      </c>
      <c r="E11" s="941" t="s">
        <v>1178</v>
      </c>
      <c r="F11" s="801"/>
      <c r="G11" s="936">
        <v>130</v>
      </c>
      <c r="H11" s="937">
        <v>0</v>
      </c>
      <c r="I11" s="343">
        <f>I10+$G11-$H11</f>
        <v>1800130</v>
      </c>
      <c r="J11" s="935"/>
      <c r="K11" s="935"/>
      <c r="L11" s="934"/>
      <c r="M11" s="808"/>
    </row>
    <row r="12" spans="2:14" ht="19.149999999999999" customHeight="1" x14ac:dyDescent="0.4">
      <c r="B12" s="942">
        <v>44301</v>
      </c>
      <c r="C12" s="939" t="s">
        <v>1326</v>
      </c>
      <c r="D12" s="940">
        <f>MONTH('金銭出納簿（今年度）（参考）'!$B12)</f>
        <v>4</v>
      </c>
      <c r="E12" s="941" t="s">
        <v>1179</v>
      </c>
      <c r="F12" s="802"/>
      <c r="G12" s="936"/>
      <c r="H12" s="937">
        <v>5000</v>
      </c>
      <c r="I12" s="343">
        <f t="shared" ref="I12:I49" si="0">I11+$G12-$H12</f>
        <v>1795130</v>
      </c>
      <c r="J12" s="935"/>
      <c r="K12" s="935"/>
      <c r="L12" s="934"/>
      <c r="M12" s="808"/>
    </row>
    <row r="13" spans="2:14" ht="19.5" customHeight="1" x14ac:dyDescent="0.4">
      <c r="B13" s="938">
        <v>44319</v>
      </c>
      <c r="C13" s="939" t="s">
        <v>1334</v>
      </c>
      <c r="D13" s="940">
        <f>MONTH('金銭出納簿（今年度）（参考）'!$B13)</f>
        <v>5</v>
      </c>
      <c r="E13" s="941" t="s">
        <v>1180</v>
      </c>
      <c r="F13" s="801"/>
      <c r="G13" s="936"/>
      <c r="H13" s="937">
        <v>30000</v>
      </c>
      <c r="I13" s="343">
        <f t="shared" si="0"/>
        <v>1765130</v>
      </c>
      <c r="J13" s="935">
        <v>1</v>
      </c>
      <c r="K13" s="935"/>
      <c r="L13" s="934"/>
      <c r="M13" s="808"/>
    </row>
    <row r="14" spans="2:14" ht="36.6" customHeight="1" x14ac:dyDescent="0.4">
      <c r="B14" s="942">
        <v>43985</v>
      </c>
      <c r="C14" s="939" t="s">
        <v>1326</v>
      </c>
      <c r="D14" s="940">
        <f>MONTH('金銭出納簿（今年度）（参考）'!$B14)</f>
        <v>6</v>
      </c>
      <c r="E14" s="941" t="s">
        <v>1181</v>
      </c>
      <c r="F14" s="801"/>
      <c r="G14" s="936"/>
      <c r="H14" s="937">
        <v>300000</v>
      </c>
      <c r="I14" s="343">
        <f t="shared" si="0"/>
        <v>1465130</v>
      </c>
      <c r="J14" s="935">
        <v>2</v>
      </c>
      <c r="K14" s="935"/>
      <c r="L14" s="934" t="s">
        <v>1182</v>
      </c>
      <c r="M14" s="808"/>
    </row>
    <row r="15" spans="2:14" ht="19.5" customHeight="1" x14ac:dyDescent="0.4">
      <c r="B15" s="942">
        <v>43989</v>
      </c>
      <c r="C15" s="939" t="s">
        <v>1328</v>
      </c>
      <c r="D15" s="940">
        <f>MONTH('金銭出納簿（今年度）（参考）'!$B15)</f>
        <v>6</v>
      </c>
      <c r="E15" s="941" t="s">
        <v>1183</v>
      </c>
      <c r="F15" s="801"/>
      <c r="G15" s="936"/>
      <c r="H15" s="937">
        <v>60000</v>
      </c>
      <c r="I15" s="343">
        <f t="shared" si="0"/>
        <v>1405130</v>
      </c>
      <c r="J15" s="935">
        <v>3</v>
      </c>
      <c r="K15" s="935"/>
      <c r="L15" s="934"/>
      <c r="M15" s="808"/>
    </row>
    <row r="16" spans="2:14" ht="19.5" customHeight="1" x14ac:dyDescent="0.4">
      <c r="B16" s="942">
        <v>44013</v>
      </c>
      <c r="C16" s="939" t="s">
        <v>1330</v>
      </c>
      <c r="D16" s="940">
        <f>MONTH('金銭出納簿（今年度）（参考）'!$B16)</f>
        <v>7</v>
      </c>
      <c r="E16" s="941" t="s">
        <v>663</v>
      </c>
      <c r="F16" s="803"/>
      <c r="G16" s="936"/>
      <c r="H16" s="937">
        <v>60000</v>
      </c>
      <c r="I16" s="343">
        <f t="shared" si="0"/>
        <v>1345130</v>
      </c>
      <c r="J16" s="935">
        <v>4</v>
      </c>
      <c r="K16" s="935"/>
      <c r="L16" s="934"/>
      <c r="M16" s="808"/>
    </row>
    <row r="17" spans="2:13" ht="19.5" customHeight="1" x14ac:dyDescent="0.4">
      <c r="B17" s="942">
        <v>44046</v>
      </c>
      <c r="C17" s="939" t="s">
        <v>1326</v>
      </c>
      <c r="D17" s="940">
        <f>MONTH('金銭出納簿（今年度）（参考）'!$B17)</f>
        <v>8</v>
      </c>
      <c r="E17" s="941" t="s">
        <v>1184</v>
      </c>
      <c r="F17" s="801"/>
      <c r="G17" s="936"/>
      <c r="H17" s="937">
        <v>100000</v>
      </c>
      <c r="I17" s="343">
        <f t="shared" si="0"/>
        <v>1245130</v>
      </c>
      <c r="J17" s="935">
        <v>5</v>
      </c>
      <c r="K17" s="935"/>
      <c r="L17" s="934"/>
      <c r="M17" s="808"/>
    </row>
    <row r="18" spans="2:13" ht="19.5" customHeight="1" x14ac:dyDescent="0.4">
      <c r="B18" s="942">
        <v>44051</v>
      </c>
      <c r="C18" s="939" t="s">
        <v>1325</v>
      </c>
      <c r="D18" s="943">
        <f>MONTH('金銭出納簿（今年度）（参考）'!$B18)</f>
        <v>8</v>
      </c>
      <c r="E18" s="941" t="s">
        <v>1185</v>
      </c>
      <c r="F18" s="801"/>
      <c r="G18" s="936"/>
      <c r="H18" s="937">
        <v>50000</v>
      </c>
      <c r="I18" s="343">
        <f t="shared" si="0"/>
        <v>1195130</v>
      </c>
      <c r="J18" s="935">
        <v>6</v>
      </c>
      <c r="K18" s="935"/>
      <c r="L18" s="934"/>
      <c r="M18" s="808"/>
    </row>
    <row r="19" spans="2:13" ht="19.5" customHeight="1" x14ac:dyDescent="0.4">
      <c r="B19" s="942">
        <v>44075</v>
      </c>
      <c r="C19" s="939" t="s">
        <v>1330</v>
      </c>
      <c r="D19" s="940">
        <f>MONTH('金銭出納簿（今年度）（参考）'!$B19)</f>
        <v>9</v>
      </c>
      <c r="E19" s="941" t="s">
        <v>1186</v>
      </c>
      <c r="F19" s="801"/>
      <c r="G19" s="936"/>
      <c r="H19" s="937">
        <v>120000</v>
      </c>
      <c r="I19" s="343">
        <f t="shared" si="0"/>
        <v>1075130</v>
      </c>
      <c r="J19" s="935">
        <v>7</v>
      </c>
      <c r="K19" s="935"/>
      <c r="L19" s="934"/>
      <c r="M19" s="808"/>
    </row>
    <row r="20" spans="2:13" ht="19.5" customHeight="1" x14ac:dyDescent="0.4">
      <c r="B20" s="942">
        <v>44089</v>
      </c>
      <c r="C20" s="939" t="s">
        <v>1322</v>
      </c>
      <c r="D20" s="940">
        <f>MONTH('金銭出納簿（今年度）（参考）'!$B20)</f>
        <v>9</v>
      </c>
      <c r="E20" s="941" t="s">
        <v>1183</v>
      </c>
      <c r="F20" s="801"/>
      <c r="G20" s="936">
        <v>20000</v>
      </c>
      <c r="H20" s="937"/>
      <c r="I20" s="343">
        <f t="shared" si="0"/>
        <v>1095130</v>
      </c>
      <c r="J20" s="935">
        <v>8</v>
      </c>
      <c r="K20" s="935"/>
      <c r="L20" s="934"/>
      <c r="M20" s="808"/>
    </row>
    <row r="21" spans="2:13" ht="19.5" customHeight="1" x14ac:dyDescent="0.4">
      <c r="B21" s="942">
        <v>44099</v>
      </c>
      <c r="C21" s="939" t="s">
        <v>1332</v>
      </c>
      <c r="D21" s="940">
        <f>MONTH('金銭出納簿（今年度）（参考）'!$B21)</f>
        <v>9</v>
      </c>
      <c r="E21" s="941" t="s">
        <v>1187</v>
      </c>
      <c r="F21" s="801"/>
      <c r="G21" s="936"/>
      <c r="H21" s="937">
        <v>400000</v>
      </c>
      <c r="I21" s="343">
        <f t="shared" si="0"/>
        <v>695130</v>
      </c>
      <c r="J21" s="935" t="s">
        <v>1188</v>
      </c>
      <c r="K21" s="935"/>
      <c r="L21" s="934"/>
      <c r="M21" s="808"/>
    </row>
    <row r="22" spans="2:13" ht="19.5" customHeight="1" x14ac:dyDescent="0.4">
      <c r="B22" s="942">
        <v>44105</v>
      </c>
      <c r="C22" s="939" t="s">
        <v>1322</v>
      </c>
      <c r="D22" s="940">
        <f>MONTH('金銭出納簿（今年度）（参考）'!$B22)</f>
        <v>10</v>
      </c>
      <c r="E22" s="941" t="s">
        <v>1178</v>
      </c>
      <c r="F22" s="801"/>
      <c r="G22" s="936">
        <v>40</v>
      </c>
      <c r="H22" s="937">
        <v>0</v>
      </c>
      <c r="I22" s="343">
        <f t="shared" si="0"/>
        <v>695170</v>
      </c>
      <c r="J22" s="935"/>
      <c r="K22" s="935"/>
      <c r="L22" s="934"/>
      <c r="M22" s="808"/>
    </row>
    <row r="23" spans="2:13" ht="19.5" customHeight="1" x14ac:dyDescent="0.4">
      <c r="B23" s="942">
        <v>44105</v>
      </c>
      <c r="C23" s="939" t="s">
        <v>1340</v>
      </c>
      <c r="D23" s="940">
        <f>MONTH('金銭出納簿（今年度）（参考）'!$B23)</f>
        <v>10</v>
      </c>
      <c r="E23" s="941" t="s">
        <v>1189</v>
      </c>
      <c r="F23" s="801"/>
      <c r="G23" s="936"/>
      <c r="H23" s="937">
        <v>60000</v>
      </c>
      <c r="I23" s="343">
        <f t="shared" si="0"/>
        <v>635170</v>
      </c>
      <c r="J23" s="935">
        <v>11</v>
      </c>
      <c r="K23" s="935"/>
      <c r="L23" s="934"/>
      <c r="M23" s="808"/>
    </row>
    <row r="24" spans="2:13" ht="19.5" customHeight="1" x14ac:dyDescent="0.4">
      <c r="B24" s="942">
        <v>44150</v>
      </c>
      <c r="C24" s="939" t="s">
        <v>1321</v>
      </c>
      <c r="D24" s="940">
        <f>MONTH('金銭出納簿（今年度）（参考）'!$B24)</f>
        <v>11</v>
      </c>
      <c r="E24" s="941" t="s">
        <v>1190</v>
      </c>
      <c r="F24" s="801"/>
      <c r="G24" s="936">
        <v>4800000</v>
      </c>
      <c r="H24" s="937">
        <v>0</v>
      </c>
      <c r="I24" s="343">
        <f t="shared" si="0"/>
        <v>5435170</v>
      </c>
      <c r="J24" s="935"/>
      <c r="K24" s="935"/>
      <c r="L24" s="934"/>
      <c r="M24" s="808"/>
    </row>
    <row r="25" spans="2:13" ht="19.5" customHeight="1" x14ac:dyDescent="0.4">
      <c r="B25" s="942">
        <v>44165</v>
      </c>
      <c r="C25" s="939" t="s">
        <v>1323</v>
      </c>
      <c r="D25" s="940">
        <f>MONTH('金銭出納簿（今年度）（参考）'!$B25)</f>
        <v>11</v>
      </c>
      <c r="E25" s="941" t="s">
        <v>1191</v>
      </c>
      <c r="F25" s="801"/>
      <c r="G25" s="936"/>
      <c r="H25" s="937">
        <v>2400000</v>
      </c>
      <c r="I25" s="343">
        <f t="shared" si="0"/>
        <v>3035170</v>
      </c>
      <c r="J25" s="935" t="s">
        <v>1192</v>
      </c>
      <c r="K25" s="935"/>
      <c r="L25" s="934"/>
      <c r="M25" s="808"/>
    </row>
    <row r="26" spans="2:13" ht="19.5" customHeight="1" x14ac:dyDescent="0.4">
      <c r="B26" s="942">
        <v>44530</v>
      </c>
      <c r="C26" s="939" t="s">
        <v>1324</v>
      </c>
      <c r="D26" s="940">
        <f>MONTH('金銭出納簿（今年度）（参考）'!$B26)</f>
        <v>11</v>
      </c>
      <c r="E26" s="941" t="s">
        <v>1191</v>
      </c>
      <c r="F26" s="801"/>
      <c r="G26" s="936"/>
      <c r="H26" s="937">
        <v>100000</v>
      </c>
      <c r="I26" s="343">
        <f t="shared" si="0"/>
        <v>2935170</v>
      </c>
      <c r="J26" s="935" t="s">
        <v>1192</v>
      </c>
      <c r="K26" s="935"/>
      <c r="L26" s="934"/>
      <c r="M26" s="808"/>
    </row>
    <row r="27" spans="2:13" ht="19.5" customHeight="1" x14ac:dyDescent="0.4">
      <c r="B27" s="942">
        <v>44530</v>
      </c>
      <c r="C27" s="939" t="s">
        <v>1328</v>
      </c>
      <c r="D27" s="940">
        <f>MONTH('金銭出納簿（今年度）（参考）'!$B27)</f>
        <v>11</v>
      </c>
      <c r="E27" s="941" t="s">
        <v>1193</v>
      </c>
      <c r="F27" s="801"/>
      <c r="G27" s="936"/>
      <c r="H27" s="937">
        <v>20000</v>
      </c>
      <c r="I27" s="343">
        <f t="shared" si="0"/>
        <v>2915170</v>
      </c>
      <c r="J27" s="935"/>
      <c r="K27" s="935"/>
      <c r="L27" s="934"/>
      <c r="M27" s="808"/>
    </row>
    <row r="28" spans="2:13" ht="19.5" customHeight="1" x14ac:dyDescent="0.4">
      <c r="B28" s="942">
        <v>44166</v>
      </c>
      <c r="C28" s="939" t="s">
        <v>1325</v>
      </c>
      <c r="D28" s="940">
        <f>MONTH('金銭出納簿（今年度）（参考）'!$B28)</f>
        <v>12</v>
      </c>
      <c r="E28" s="941" t="s">
        <v>1191</v>
      </c>
      <c r="F28" s="800"/>
      <c r="G28" s="936"/>
      <c r="H28" s="937">
        <v>200000</v>
      </c>
      <c r="I28" s="343">
        <f t="shared" si="0"/>
        <v>2715170</v>
      </c>
      <c r="J28" s="935" t="s">
        <v>1194</v>
      </c>
      <c r="K28" s="935"/>
      <c r="L28" s="934"/>
      <c r="M28" s="808"/>
    </row>
    <row r="29" spans="2:13" ht="19.5" customHeight="1" x14ac:dyDescent="0.4">
      <c r="B29" s="942">
        <v>44197</v>
      </c>
      <c r="C29" s="939" t="s">
        <v>1328</v>
      </c>
      <c r="D29" s="940">
        <f>MONTH('金銭出納簿（今年度）（参考）'!$B29)</f>
        <v>1</v>
      </c>
      <c r="E29" s="941" t="s">
        <v>1193</v>
      </c>
      <c r="F29" s="801"/>
      <c r="G29" s="936"/>
      <c r="H29" s="937">
        <v>40000</v>
      </c>
      <c r="I29" s="343">
        <f t="shared" si="0"/>
        <v>2675170</v>
      </c>
      <c r="J29" s="935">
        <v>58</v>
      </c>
      <c r="K29" s="935"/>
      <c r="L29" s="934"/>
      <c r="M29" s="808"/>
    </row>
    <row r="30" spans="2:13" ht="19.5" customHeight="1" x14ac:dyDescent="0.4">
      <c r="B30" s="942">
        <v>44208</v>
      </c>
      <c r="C30" s="939" t="s">
        <v>1326</v>
      </c>
      <c r="D30" s="940">
        <f>MONTH('金銭出納簿（今年度）（参考）'!$B30)</f>
        <v>1</v>
      </c>
      <c r="E30" s="941" t="s">
        <v>1195</v>
      </c>
      <c r="F30" s="802"/>
      <c r="G30" s="936"/>
      <c r="H30" s="937">
        <v>200000</v>
      </c>
      <c r="I30" s="343">
        <f t="shared" si="0"/>
        <v>2475170</v>
      </c>
      <c r="J30" s="935">
        <v>59</v>
      </c>
      <c r="K30" s="935"/>
      <c r="L30" s="934"/>
      <c r="M30" s="808"/>
    </row>
    <row r="31" spans="2:13" ht="19.5" customHeight="1" x14ac:dyDescent="0.4">
      <c r="B31" s="942">
        <v>44209</v>
      </c>
      <c r="C31" s="939" t="s">
        <v>1330</v>
      </c>
      <c r="D31" s="940">
        <f>MONTH('金銭出納簿（今年度）（参考）'!$B31)</f>
        <v>1</v>
      </c>
      <c r="E31" s="941" t="s">
        <v>1196</v>
      </c>
      <c r="F31" s="801"/>
      <c r="G31" s="936"/>
      <c r="H31" s="937">
        <v>200000</v>
      </c>
      <c r="I31" s="343">
        <f t="shared" si="0"/>
        <v>2275170</v>
      </c>
      <c r="J31" s="935">
        <v>60</v>
      </c>
      <c r="K31" s="935"/>
      <c r="L31" s="934"/>
      <c r="M31" s="808"/>
    </row>
    <row r="32" spans="2:13" ht="19.5" customHeight="1" x14ac:dyDescent="0.4">
      <c r="B32" s="942">
        <v>44198</v>
      </c>
      <c r="C32" s="939" t="s">
        <v>1322</v>
      </c>
      <c r="D32" s="940">
        <f>MONTH('金銭出納簿（今年度）（参考）'!$B32)</f>
        <v>1</v>
      </c>
      <c r="E32" s="941" t="s">
        <v>1178</v>
      </c>
      <c r="F32" s="801"/>
      <c r="G32" s="936">
        <v>120</v>
      </c>
      <c r="H32" s="937"/>
      <c r="I32" s="343">
        <f t="shared" si="0"/>
        <v>2275290</v>
      </c>
      <c r="J32" s="935"/>
      <c r="K32" s="935"/>
      <c r="L32" s="934"/>
      <c r="M32" s="808"/>
    </row>
    <row r="33" spans="2:13" ht="19.5" customHeight="1" x14ac:dyDescent="0.4">
      <c r="B33" s="942">
        <v>44212</v>
      </c>
      <c r="C33" s="939" t="s">
        <v>1352</v>
      </c>
      <c r="D33" s="940">
        <f>MONTH('金銭出納簿（今年度）（参考）'!$B33)</f>
        <v>1</v>
      </c>
      <c r="E33" s="941" t="s">
        <v>1197</v>
      </c>
      <c r="F33" s="801"/>
      <c r="G33" s="936"/>
      <c r="H33" s="937">
        <v>50000</v>
      </c>
      <c r="I33" s="343">
        <f t="shared" si="0"/>
        <v>2225290</v>
      </c>
      <c r="J33" s="935">
        <v>61</v>
      </c>
      <c r="K33" s="935"/>
      <c r="L33" s="934"/>
      <c r="M33" s="808"/>
    </row>
    <row r="34" spans="2:13" ht="19.5" customHeight="1" x14ac:dyDescent="0.4">
      <c r="B34" s="942">
        <v>44213</v>
      </c>
      <c r="C34" s="939" t="s">
        <v>1342</v>
      </c>
      <c r="D34" s="940">
        <f>MONTH('金銭出納簿（今年度）（参考）'!$B34)</f>
        <v>1</v>
      </c>
      <c r="E34" s="941" t="s">
        <v>1197</v>
      </c>
      <c r="F34" s="803"/>
      <c r="G34" s="936"/>
      <c r="H34" s="937">
        <v>50001</v>
      </c>
      <c r="I34" s="343">
        <f t="shared" si="0"/>
        <v>2175289</v>
      </c>
      <c r="J34" s="935">
        <v>62</v>
      </c>
      <c r="K34" s="935"/>
      <c r="L34" s="934"/>
      <c r="M34" s="808"/>
    </row>
    <row r="35" spans="2:13" ht="19.5" customHeight="1" x14ac:dyDescent="0.4">
      <c r="B35" s="942">
        <v>44228</v>
      </c>
      <c r="C35" s="939" t="s">
        <v>1346</v>
      </c>
      <c r="D35" s="940">
        <f>MONTH('金銭出納簿（今年度）（参考）'!$B35)</f>
        <v>2</v>
      </c>
      <c r="E35" s="941" t="s">
        <v>1199</v>
      </c>
      <c r="F35" s="801"/>
      <c r="G35" s="936"/>
      <c r="H35" s="937">
        <v>2000</v>
      </c>
      <c r="I35" s="343">
        <f t="shared" si="0"/>
        <v>2173289</v>
      </c>
      <c r="J35" s="935">
        <v>63</v>
      </c>
      <c r="K35" s="935"/>
      <c r="L35" s="934"/>
      <c r="M35" s="808"/>
    </row>
    <row r="36" spans="2:13" ht="19.5" customHeight="1" x14ac:dyDescent="0.4">
      <c r="B36" s="942">
        <v>44229</v>
      </c>
      <c r="C36" s="939" t="s">
        <v>1350</v>
      </c>
      <c r="D36" s="940">
        <f>MONTH('金銭出納簿（今年度）（参考）'!$B36)</f>
        <v>2</v>
      </c>
      <c r="E36" s="941" t="s">
        <v>1200</v>
      </c>
      <c r="F36" s="801"/>
      <c r="G36" s="936"/>
      <c r="H36" s="937">
        <v>100000</v>
      </c>
      <c r="I36" s="343">
        <f t="shared" si="0"/>
        <v>2073289</v>
      </c>
      <c r="J36" s="935">
        <v>64</v>
      </c>
      <c r="K36" s="935"/>
      <c r="L36" s="934"/>
      <c r="M36" s="808"/>
    </row>
    <row r="37" spans="2:13" ht="19.5" customHeight="1" x14ac:dyDescent="0.4">
      <c r="B37" s="942">
        <v>44230</v>
      </c>
      <c r="C37" s="939" t="s">
        <v>1336</v>
      </c>
      <c r="D37" s="940">
        <f>MONTH('金銭出納簿（今年度）（参考）'!$B37)</f>
        <v>2</v>
      </c>
      <c r="E37" s="941" t="s">
        <v>1201</v>
      </c>
      <c r="F37" s="801"/>
      <c r="G37" s="936"/>
      <c r="H37" s="937">
        <v>100000</v>
      </c>
      <c r="I37" s="343">
        <f t="shared" si="0"/>
        <v>1973289</v>
      </c>
      <c r="J37" s="935">
        <v>65</v>
      </c>
      <c r="K37" s="935"/>
      <c r="L37" s="934"/>
      <c r="M37" s="808"/>
    </row>
    <row r="38" spans="2:13" ht="19.5" customHeight="1" x14ac:dyDescent="0.4">
      <c r="B38" s="942">
        <v>44232</v>
      </c>
      <c r="C38" s="939" t="s">
        <v>1348</v>
      </c>
      <c r="D38" s="940">
        <f>MONTH('金銭出納簿（今年度）（参考）'!$B38)</f>
        <v>2</v>
      </c>
      <c r="E38" s="941" t="s">
        <v>1202</v>
      </c>
      <c r="F38" s="801"/>
      <c r="G38" s="936"/>
      <c r="H38" s="937">
        <v>50000</v>
      </c>
      <c r="I38" s="343">
        <f t="shared" si="0"/>
        <v>1923289</v>
      </c>
      <c r="J38" s="935">
        <v>66</v>
      </c>
      <c r="K38" s="935"/>
      <c r="L38" s="934"/>
      <c r="M38" s="808"/>
    </row>
    <row r="39" spans="2:13" ht="19.5" customHeight="1" x14ac:dyDescent="0.4">
      <c r="B39" s="942">
        <v>44258</v>
      </c>
      <c r="C39" s="939" t="s">
        <v>1326</v>
      </c>
      <c r="D39" s="940">
        <f>MONTH('金銭出納簿（今年度）（参考）'!$B39)</f>
        <v>3</v>
      </c>
      <c r="E39" s="941" t="s">
        <v>1197</v>
      </c>
      <c r="F39" s="801"/>
      <c r="G39" s="936"/>
      <c r="H39" s="937">
        <v>50000</v>
      </c>
      <c r="I39" s="343">
        <f t="shared" si="0"/>
        <v>1873289</v>
      </c>
      <c r="J39" s="935">
        <v>67</v>
      </c>
      <c r="K39" s="935"/>
      <c r="L39" s="934"/>
      <c r="M39" s="808"/>
    </row>
    <row r="40" spans="2:13" ht="19.5" customHeight="1" x14ac:dyDescent="0.4">
      <c r="B40" s="942">
        <v>44258</v>
      </c>
      <c r="C40" s="939" t="s">
        <v>1352</v>
      </c>
      <c r="D40" s="940">
        <f>MONTH('金銭出納簿（今年度）（参考）'!$B40)</f>
        <v>3</v>
      </c>
      <c r="E40" s="941" t="s">
        <v>1203</v>
      </c>
      <c r="F40" s="801"/>
      <c r="G40" s="936"/>
      <c r="H40" s="937">
        <v>20000</v>
      </c>
      <c r="I40" s="343">
        <f t="shared" si="0"/>
        <v>1853289</v>
      </c>
      <c r="J40" s="935">
        <v>68</v>
      </c>
      <c r="K40" s="935"/>
      <c r="L40" s="934"/>
      <c r="M40" s="808"/>
    </row>
    <row r="41" spans="2:13" ht="19.5" customHeight="1" x14ac:dyDescent="0.4">
      <c r="B41" s="942">
        <v>44258</v>
      </c>
      <c r="C41" s="939" t="s">
        <v>1352</v>
      </c>
      <c r="D41" s="940">
        <f>MONTH('金銭出納簿（今年度）（参考）'!$B41)</f>
        <v>3</v>
      </c>
      <c r="E41" s="941" t="s">
        <v>1204</v>
      </c>
      <c r="F41" s="801"/>
      <c r="G41" s="936"/>
      <c r="H41" s="937">
        <v>3000</v>
      </c>
      <c r="I41" s="343">
        <f t="shared" si="0"/>
        <v>1850289</v>
      </c>
      <c r="J41" s="935">
        <v>69</v>
      </c>
      <c r="K41" s="935"/>
      <c r="L41" s="934"/>
      <c r="M41" s="808"/>
    </row>
    <row r="42" spans="2:13" ht="19.5" customHeight="1" x14ac:dyDescent="0.4">
      <c r="B42" s="942">
        <v>44286</v>
      </c>
      <c r="C42" s="939" t="s">
        <v>1323</v>
      </c>
      <c r="D42" s="940">
        <f>MONTH('金銭出納簿（今年度）（参考）'!$B42)</f>
        <v>3</v>
      </c>
      <c r="E42" s="941" t="s">
        <v>1191</v>
      </c>
      <c r="F42" s="801"/>
      <c r="G42" s="936"/>
      <c r="H42" s="937">
        <v>150000</v>
      </c>
      <c r="I42" s="343">
        <f t="shared" si="0"/>
        <v>1700289</v>
      </c>
      <c r="J42" s="935">
        <v>70</v>
      </c>
      <c r="K42" s="935"/>
      <c r="L42" s="934"/>
      <c r="M42" s="808"/>
    </row>
    <row r="43" spans="2:13" ht="19.5" customHeight="1" x14ac:dyDescent="0.4">
      <c r="B43" s="942"/>
      <c r="C43" s="939"/>
      <c r="D43" s="940">
        <f>MONTH('金銭出納簿（今年度）（参考）'!$B43)</f>
        <v>1</v>
      </c>
      <c r="E43" s="941"/>
      <c r="F43" s="801"/>
      <c r="G43" s="936"/>
      <c r="H43" s="937"/>
      <c r="I43" s="343">
        <f t="shared" si="0"/>
        <v>1700289</v>
      </c>
      <c r="J43" s="935"/>
      <c r="K43" s="935"/>
      <c r="L43" s="934"/>
      <c r="M43" s="808"/>
    </row>
    <row r="44" spans="2:13" ht="19.5" customHeight="1" x14ac:dyDescent="0.4">
      <c r="B44" s="942"/>
      <c r="C44" s="939"/>
      <c r="D44" s="940">
        <f>MONTH('金銭出納簿（今年度）（参考）'!$B44)</f>
        <v>1</v>
      </c>
      <c r="E44" s="941"/>
      <c r="F44" s="801"/>
      <c r="G44" s="936"/>
      <c r="H44" s="937"/>
      <c r="I44" s="343">
        <f t="shared" si="0"/>
        <v>1700289</v>
      </c>
      <c r="J44" s="935"/>
      <c r="K44" s="935"/>
      <c r="L44" s="934"/>
      <c r="M44" s="808"/>
    </row>
    <row r="45" spans="2:13" ht="19.5" customHeight="1" x14ac:dyDescent="0.4">
      <c r="B45" s="942"/>
      <c r="C45" s="939"/>
      <c r="D45" s="940">
        <f>MONTH('金銭出納簿（今年度）（参考）'!$B45)</f>
        <v>1</v>
      </c>
      <c r="E45" s="941"/>
      <c r="F45" s="801"/>
      <c r="G45" s="936"/>
      <c r="H45" s="937"/>
      <c r="I45" s="343">
        <f t="shared" si="0"/>
        <v>1700289</v>
      </c>
      <c r="J45" s="935"/>
      <c r="K45" s="935"/>
      <c r="L45" s="934"/>
      <c r="M45" s="808"/>
    </row>
    <row r="46" spans="2:13" ht="19.5" customHeight="1" x14ac:dyDescent="0.4">
      <c r="B46" s="942"/>
      <c r="C46" s="939"/>
      <c r="D46" s="940">
        <f>MONTH('金銭出納簿（今年度）（参考）'!$B46)</f>
        <v>1</v>
      </c>
      <c r="E46" s="941"/>
      <c r="F46" s="801"/>
      <c r="G46" s="936"/>
      <c r="H46" s="937"/>
      <c r="I46" s="343">
        <f t="shared" si="0"/>
        <v>1700289</v>
      </c>
      <c r="J46" s="935"/>
      <c r="K46" s="935"/>
      <c r="L46" s="934"/>
      <c r="M46" s="808"/>
    </row>
    <row r="47" spans="2:13" ht="19.5" customHeight="1" x14ac:dyDescent="0.4">
      <c r="B47" s="942"/>
      <c r="C47" s="939"/>
      <c r="D47" s="940">
        <f>MONTH('金銭出納簿（今年度）（参考）'!$B47)</f>
        <v>1</v>
      </c>
      <c r="E47" s="941"/>
      <c r="F47" s="801"/>
      <c r="G47" s="936"/>
      <c r="H47" s="937"/>
      <c r="I47" s="343">
        <f t="shared" si="0"/>
        <v>1700289</v>
      </c>
      <c r="J47" s="935"/>
      <c r="K47" s="935"/>
      <c r="L47" s="934"/>
      <c r="M47" s="808"/>
    </row>
    <row r="48" spans="2:13" ht="19.5" customHeight="1" x14ac:dyDescent="0.4">
      <c r="B48" s="942"/>
      <c r="C48" s="939"/>
      <c r="D48" s="940">
        <f>MONTH('金銭出納簿（今年度）（参考）'!$B48)</f>
        <v>1</v>
      </c>
      <c r="E48" s="941"/>
      <c r="F48" s="801"/>
      <c r="G48" s="936"/>
      <c r="H48" s="937"/>
      <c r="I48" s="343">
        <f t="shared" si="0"/>
        <v>1700289</v>
      </c>
      <c r="J48" s="935"/>
      <c r="K48" s="935"/>
      <c r="L48" s="934"/>
      <c r="M48" s="808"/>
    </row>
    <row r="49" spans="2:13" ht="19.5" customHeight="1" x14ac:dyDescent="0.4">
      <c r="B49" s="942"/>
      <c r="C49" s="939"/>
      <c r="D49" s="940">
        <f>MONTH('金銭出納簿（今年度）（参考）'!$B49)</f>
        <v>1</v>
      </c>
      <c r="E49" s="941"/>
      <c r="F49" s="801"/>
      <c r="G49" s="936"/>
      <c r="H49" s="937"/>
      <c r="I49" s="343">
        <f t="shared" si="0"/>
        <v>1700289</v>
      </c>
      <c r="J49" s="935"/>
      <c r="K49" s="935"/>
      <c r="L49" s="934"/>
      <c r="M49" s="808"/>
    </row>
    <row r="50" spans="2:13" ht="19.5" customHeight="1" thickBot="1" x14ac:dyDescent="0.45">
      <c r="B50" s="2200" t="s">
        <v>1205</v>
      </c>
      <c r="C50" s="2201"/>
      <c r="D50" s="2201"/>
      <c r="E50" s="2201"/>
      <c r="F50" s="2201"/>
      <c r="G50" s="2201"/>
      <c r="H50" s="2201"/>
      <c r="I50" s="2201"/>
      <c r="J50" s="2201"/>
      <c r="K50" s="2201"/>
      <c r="L50" s="2201"/>
      <c r="M50" s="2201"/>
    </row>
    <row r="51" spans="2:13" ht="19.5" customHeight="1" thickTop="1" x14ac:dyDescent="0.4">
      <c r="B51" s="2236" t="s">
        <v>1206</v>
      </c>
      <c r="C51" s="2237"/>
      <c r="D51" s="2237"/>
      <c r="E51" s="2238"/>
      <c r="F51" s="529"/>
      <c r="G51" s="518">
        <f>SUM($G$10:$G$50)</f>
        <v>6620290</v>
      </c>
      <c r="H51" s="344">
        <f>SUM($H$10:$H$50)</f>
        <v>4920001</v>
      </c>
      <c r="I51" s="344">
        <f>G51-H51</f>
        <v>1700289</v>
      </c>
      <c r="J51" s="345"/>
      <c r="K51" s="346"/>
      <c r="L51" s="347"/>
      <c r="M51" s="811"/>
    </row>
    <row r="52" spans="2:13" ht="14.25" customHeight="1" x14ac:dyDescent="0.4">
      <c r="B52" s="348" t="s">
        <v>1207</v>
      </c>
      <c r="C52" s="349"/>
      <c r="D52" s="349"/>
      <c r="E52" s="349"/>
      <c r="F52" s="349"/>
      <c r="G52" s="350"/>
      <c r="H52" s="351"/>
      <c r="I52" s="352"/>
      <c r="J52" s="352"/>
      <c r="K52" s="352"/>
    </row>
    <row r="53" spans="2:13" ht="19.149999999999999" customHeight="1" x14ac:dyDescent="0.4">
      <c r="B53" s="353"/>
      <c r="C53" s="353"/>
      <c r="D53" s="353"/>
      <c r="E53" s="353"/>
      <c r="F53" s="353"/>
      <c r="G53" s="353"/>
      <c r="H53" s="353"/>
      <c r="I53" s="353"/>
      <c r="J53" s="353"/>
      <c r="K53" s="353"/>
    </row>
    <row r="54" spans="2:13" ht="19.149999999999999" customHeight="1" x14ac:dyDescent="0.4">
      <c r="B54" s="354" t="s">
        <v>1208</v>
      </c>
      <c r="C54" s="353"/>
      <c r="D54" s="353"/>
      <c r="E54" s="353"/>
      <c r="F54" s="353"/>
      <c r="G54" s="353"/>
      <c r="H54" s="353"/>
      <c r="I54" s="353"/>
      <c r="J54" s="353"/>
      <c r="K54" s="353"/>
    </row>
    <row r="55" spans="2:13" ht="19.149999999999999" customHeight="1" x14ac:dyDescent="0.4">
      <c r="B55" s="527" t="s">
        <v>1369</v>
      </c>
      <c r="C55" s="353"/>
      <c r="D55" s="353"/>
      <c r="E55" s="353"/>
      <c r="F55" s="353"/>
      <c r="G55" s="353"/>
      <c r="H55" s="353"/>
      <c r="I55" s="353"/>
      <c r="J55" s="353"/>
      <c r="K55" s="353"/>
    </row>
    <row r="56" spans="2:13" ht="19.149999999999999" customHeight="1" x14ac:dyDescent="0.45">
      <c r="B56" s="2194" t="s">
        <v>1209</v>
      </c>
      <c r="C56" s="2195"/>
      <c r="D56" s="356"/>
      <c r="E56" s="355" t="s">
        <v>1210</v>
      </c>
      <c r="F56" s="2220" t="s">
        <v>1211</v>
      </c>
      <c r="G56" s="2221"/>
      <c r="H56" s="525"/>
      <c r="I56" s="525"/>
      <c r="J56" s="525"/>
      <c r="K56" s="357" t="s">
        <v>1212</v>
      </c>
    </row>
    <row r="57" spans="2:13" ht="19.149999999999999" customHeight="1" x14ac:dyDescent="0.45">
      <c r="B57" s="2196" t="s">
        <v>1353</v>
      </c>
      <c r="C57" s="2197"/>
      <c r="D57" s="945"/>
      <c r="E57" s="946">
        <v>1000000</v>
      </c>
      <c r="F57" s="2222" t="s">
        <v>1213</v>
      </c>
      <c r="G57" s="2223"/>
      <c r="H57" s="2223"/>
      <c r="I57" s="2223"/>
      <c r="J57" s="2224"/>
      <c r="K57" s="947" t="s">
        <v>1214</v>
      </c>
    </row>
    <row r="58" spans="2:13" ht="19.149999999999999" customHeight="1" x14ac:dyDescent="0.45">
      <c r="B58" s="2196" t="s">
        <v>1354</v>
      </c>
      <c r="C58" s="2197"/>
      <c r="D58" s="945"/>
      <c r="E58" s="946">
        <v>690000</v>
      </c>
      <c r="F58" s="2222" t="s">
        <v>1215</v>
      </c>
      <c r="G58" s="2223"/>
      <c r="H58" s="2223"/>
      <c r="I58" s="2223"/>
      <c r="J58" s="2224"/>
      <c r="K58" s="947" t="s">
        <v>1216</v>
      </c>
    </row>
    <row r="59" spans="2:13" ht="19.149999999999999" customHeight="1" x14ac:dyDescent="0.45">
      <c r="B59" s="2196" t="s">
        <v>1355</v>
      </c>
      <c r="C59" s="2197"/>
      <c r="D59" s="945"/>
      <c r="E59" s="946">
        <v>10000</v>
      </c>
      <c r="F59" s="2222" t="s">
        <v>1217</v>
      </c>
      <c r="G59" s="2223"/>
      <c r="H59" s="2223"/>
      <c r="I59" s="2223"/>
      <c r="J59" s="2224"/>
      <c r="K59" s="947" t="s">
        <v>1218</v>
      </c>
    </row>
    <row r="60" spans="2:13" ht="19.149999999999999" customHeight="1" x14ac:dyDescent="0.45">
      <c r="B60" s="2198" t="s">
        <v>1360</v>
      </c>
      <c r="C60" s="2199"/>
      <c r="D60" s="945"/>
      <c r="E60" s="946">
        <v>289</v>
      </c>
      <c r="F60" s="2231" t="s">
        <v>1219</v>
      </c>
      <c r="G60" s="2232"/>
      <c r="H60" s="2232"/>
      <c r="I60" s="2232"/>
      <c r="J60" s="2233"/>
      <c r="K60" s="947" t="s">
        <v>1220</v>
      </c>
    </row>
    <row r="61" spans="2:13" ht="19.149999999999999" customHeight="1" thickBot="1" x14ac:dyDescent="0.45">
      <c r="B61" s="2200" t="s">
        <v>1205</v>
      </c>
      <c r="C61" s="2201"/>
      <c r="D61" s="2201"/>
      <c r="E61" s="2201"/>
      <c r="F61" s="2201"/>
      <c r="G61" s="2201"/>
      <c r="H61" s="2201"/>
      <c r="I61" s="2201"/>
      <c r="J61" s="2201"/>
      <c r="K61" s="2201"/>
      <c r="L61"/>
    </row>
    <row r="62" spans="2:13" ht="25.15" customHeight="1" thickTop="1" x14ac:dyDescent="0.45">
      <c r="B62" s="2234" t="s">
        <v>205</v>
      </c>
      <c r="C62" s="2235"/>
      <c r="D62" s="359"/>
      <c r="E62" s="358">
        <f>SUBTOTAL(109,$E$57:$E$61)</f>
        <v>1700289</v>
      </c>
      <c r="F62" s="804"/>
      <c r="G62" s="2218"/>
      <c r="H62" s="2218"/>
      <c r="I62" s="2218"/>
      <c r="J62" s="2218"/>
      <c r="K62" s="2219"/>
      <c r="L62" s="526"/>
    </row>
    <row r="63" spans="2:13" ht="16.899999999999999" customHeight="1" x14ac:dyDescent="0.4">
      <c r="B63" s="348"/>
      <c r="C63" s="353"/>
      <c r="D63" s="353"/>
      <c r="E63" s="353"/>
      <c r="F63" s="353"/>
      <c r="G63" s="353"/>
      <c r="H63" s="353"/>
      <c r="I63" s="353"/>
      <c r="J63" s="353"/>
      <c r="K63" s="353"/>
    </row>
    <row r="64" spans="2:13" ht="8.4499999999999993" customHeight="1" x14ac:dyDescent="0.4">
      <c r="B64" s="353"/>
      <c r="C64" s="353"/>
      <c r="D64" s="353"/>
      <c r="E64" s="353"/>
      <c r="F64" s="353"/>
      <c r="G64" s="353"/>
      <c r="H64" s="353"/>
      <c r="I64" s="353"/>
      <c r="J64" s="353"/>
      <c r="K64" s="353"/>
    </row>
    <row r="65" spans="2:12" s="402" customFormat="1" ht="18" customHeight="1" x14ac:dyDescent="0.45">
      <c r="B65" s="399"/>
      <c r="C65" s="400"/>
      <c r="D65" s="400"/>
      <c r="E65" s="400"/>
      <c r="F65" s="400"/>
      <c r="G65" s="403"/>
      <c r="H65" s="404"/>
      <c r="I65" s="405"/>
      <c r="J65" s="405"/>
      <c r="K65" s="405"/>
      <c r="L65" s="406"/>
    </row>
    <row r="66" spans="2:12" s="402" customFormat="1" ht="18" customHeight="1" x14ac:dyDescent="0.45">
      <c r="B66" s="407"/>
      <c r="C66" s="407" t="s">
        <v>1365</v>
      </c>
      <c r="D66" s="407"/>
      <c r="E66" s="407"/>
      <c r="F66" s="407"/>
      <c r="G66" s="407"/>
      <c r="H66" s="407"/>
      <c r="I66" s="528" t="s">
        <v>1370</v>
      </c>
      <c r="J66" s="407"/>
      <c r="L66" s="408"/>
    </row>
    <row r="67" spans="2:12" s="402" customFormat="1" ht="18" customHeight="1" x14ac:dyDescent="0.45">
      <c r="B67" s="517"/>
      <c r="C67" s="410" t="s">
        <v>1320</v>
      </c>
      <c r="D67" s="411"/>
      <c r="E67" s="411"/>
      <c r="F67" s="805"/>
      <c r="G67" s="412"/>
      <c r="H67" s="412"/>
      <c r="I67" s="410" t="s">
        <v>1353</v>
      </c>
      <c r="J67" s="411"/>
      <c r="K67" s="413"/>
      <c r="L67" s="520"/>
    </row>
    <row r="68" spans="2:12" s="402" customFormat="1" ht="18" customHeight="1" x14ac:dyDescent="0.45">
      <c r="B68" s="517"/>
      <c r="C68" s="410" t="s">
        <v>1321</v>
      </c>
      <c r="D68" s="411"/>
      <c r="E68" s="411"/>
      <c r="F68" s="805"/>
      <c r="G68" s="412"/>
      <c r="H68" s="412"/>
      <c r="I68" s="410" t="s">
        <v>1354</v>
      </c>
      <c r="J68" s="411"/>
      <c r="K68" s="413"/>
      <c r="L68" s="520"/>
    </row>
    <row r="69" spans="2:12" s="402" customFormat="1" ht="18" customHeight="1" x14ac:dyDescent="0.45">
      <c r="B69" s="517"/>
      <c r="C69" s="410" t="s">
        <v>1322</v>
      </c>
      <c r="D69" s="411"/>
      <c r="E69" s="411"/>
      <c r="F69" s="805"/>
      <c r="G69" s="412"/>
      <c r="H69" s="412"/>
      <c r="I69" s="410" t="s">
        <v>1355</v>
      </c>
      <c r="J69" s="411"/>
      <c r="K69" s="413"/>
      <c r="L69" s="520"/>
    </row>
    <row r="70" spans="2:12" s="402" customFormat="1" ht="18" customHeight="1" x14ac:dyDescent="0.45">
      <c r="B70" s="517"/>
      <c r="C70" s="414" t="s">
        <v>1323</v>
      </c>
      <c r="D70" s="415"/>
      <c r="E70" s="415"/>
      <c r="F70" s="806"/>
      <c r="G70" s="412"/>
      <c r="H70" s="412"/>
      <c r="I70" s="414" t="s">
        <v>1356</v>
      </c>
      <c r="J70" s="415"/>
      <c r="K70" s="413"/>
      <c r="L70" s="520"/>
    </row>
    <row r="71" spans="2:12" s="402" customFormat="1" ht="18" customHeight="1" x14ac:dyDescent="0.45">
      <c r="B71" s="517"/>
      <c r="C71" s="414" t="s">
        <v>1324</v>
      </c>
      <c r="D71" s="415"/>
      <c r="E71" s="415"/>
      <c r="F71" s="806"/>
      <c r="G71" s="412"/>
      <c r="H71" s="412"/>
      <c r="I71" s="414" t="s">
        <v>1357</v>
      </c>
      <c r="J71" s="415"/>
      <c r="K71" s="413"/>
      <c r="L71" s="520"/>
    </row>
    <row r="72" spans="2:12" s="402" customFormat="1" ht="18" customHeight="1" x14ac:dyDescent="0.45">
      <c r="B72" s="517"/>
      <c r="C72" s="414" t="s">
        <v>1325</v>
      </c>
      <c r="D72" s="415"/>
      <c r="E72" s="415"/>
      <c r="F72" s="806"/>
      <c r="G72" s="412"/>
      <c r="H72" s="412"/>
      <c r="I72" s="414" t="s">
        <v>1358</v>
      </c>
      <c r="J72" s="415"/>
      <c r="K72" s="413"/>
      <c r="L72" s="520"/>
    </row>
    <row r="73" spans="2:12" s="402" customFormat="1" ht="18" customHeight="1" x14ac:dyDescent="0.45">
      <c r="B73" s="517"/>
      <c r="C73" s="414" t="s">
        <v>1327</v>
      </c>
      <c r="D73" s="415"/>
      <c r="E73" s="415"/>
      <c r="F73" s="806"/>
      <c r="G73" s="412"/>
      <c r="H73" s="412"/>
      <c r="I73" s="414" t="s">
        <v>1359</v>
      </c>
      <c r="J73" s="415"/>
      <c r="K73" s="413"/>
      <c r="L73" s="520"/>
    </row>
    <row r="74" spans="2:12" ht="18" customHeight="1" x14ac:dyDescent="0.45">
      <c r="B74" s="517"/>
      <c r="C74" s="414" t="s">
        <v>1329</v>
      </c>
      <c r="D74" s="415"/>
      <c r="E74" s="415"/>
      <c r="F74" s="806"/>
      <c r="G74" s="412"/>
      <c r="H74" s="412"/>
      <c r="I74" s="414" t="s">
        <v>1360</v>
      </c>
      <c r="J74" s="415"/>
      <c r="K74" s="413"/>
      <c r="L74" s="520"/>
    </row>
    <row r="75" spans="2:12" ht="18" customHeight="1" x14ac:dyDescent="0.4">
      <c r="B75" s="517"/>
      <c r="C75" s="414" t="s">
        <v>1331</v>
      </c>
      <c r="D75" s="415"/>
      <c r="E75" s="415"/>
      <c r="F75" s="806"/>
      <c r="I75" s="416"/>
    </row>
    <row r="76" spans="2:12" ht="18" customHeight="1" x14ac:dyDescent="0.4">
      <c r="B76" s="517"/>
      <c r="C76" s="414" t="s">
        <v>1333</v>
      </c>
      <c r="D76" s="415"/>
      <c r="E76" s="415"/>
      <c r="F76" s="806"/>
      <c r="I76" s="416"/>
    </row>
    <row r="77" spans="2:12" ht="18" customHeight="1" x14ac:dyDescent="0.4">
      <c r="B77" s="517"/>
      <c r="C77" s="414" t="s">
        <v>1335</v>
      </c>
      <c r="D77" s="415"/>
      <c r="E77" s="415"/>
      <c r="F77" s="806"/>
      <c r="I77" s="416"/>
    </row>
    <row r="78" spans="2:12" ht="18" customHeight="1" x14ac:dyDescent="0.4">
      <c r="B78" s="517"/>
      <c r="C78" s="414" t="s">
        <v>1337</v>
      </c>
      <c r="D78" s="415"/>
      <c r="E78" s="415"/>
      <c r="F78" s="806"/>
      <c r="I78" s="416"/>
    </row>
    <row r="79" spans="2:12" ht="18" customHeight="1" x14ac:dyDescent="0.4">
      <c r="B79" s="517"/>
      <c r="C79" s="414" t="s">
        <v>1339</v>
      </c>
      <c r="D79" s="415"/>
      <c r="E79" s="415"/>
      <c r="F79" s="806"/>
      <c r="I79" s="416"/>
    </row>
    <row r="80" spans="2:12" ht="18" customHeight="1" x14ac:dyDescent="0.4">
      <c r="B80" s="517"/>
      <c r="C80" s="414" t="s">
        <v>1341</v>
      </c>
      <c r="D80" s="415"/>
      <c r="E80" s="415"/>
      <c r="F80" s="806"/>
      <c r="I80" s="416"/>
    </row>
    <row r="81" spans="1:11" ht="18" customHeight="1" x14ac:dyDescent="0.4">
      <c r="B81" s="517"/>
      <c r="C81" s="414" t="s">
        <v>1343</v>
      </c>
      <c r="D81" s="415"/>
      <c r="E81" s="415"/>
      <c r="F81" s="806"/>
      <c r="I81" s="416"/>
    </row>
    <row r="82" spans="1:11" ht="18" customHeight="1" x14ac:dyDescent="0.4">
      <c r="B82" s="517"/>
      <c r="C82" s="414" t="s">
        <v>1345</v>
      </c>
      <c r="D82" s="415"/>
      <c r="E82" s="415"/>
      <c r="F82" s="806"/>
      <c r="I82" s="416"/>
    </row>
    <row r="83" spans="1:11" ht="18" customHeight="1" x14ac:dyDescent="0.4">
      <c r="B83" s="517"/>
      <c r="C83" s="414" t="s">
        <v>1347</v>
      </c>
      <c r="D83" s="415"/>
      <c r="E83" s="415"/>
      <c r="F83" s="806"/>
      <c r="I83" s="416"/>
    </row>
    <row r="84" spans="1:11" ht="18" customHeight="1" x14ac:dyDescent="0.4">
      <c r="B84" s="517"/>
      <c r="C84" s="414" t="s">
        <v>1349</v>
      </c>
      <c r="D84" s="415"/>
      <c r="E84" s="415"/>
      <c r="F84" s="806"/>
      <c r="I84" s="416"/>
    </row>
    <row r="85" spans="1:11" ht="18" customHeight="1" x14ac:dyDescent="0.4">
      <c r="B85" s="517"/>
      <c r="C85" s="414" t="s">
        <v>1351</v>
      </c>
      <c r="D85" s="415"/>
      <c r="E85" s="415"/>
      <c r="F85" s="806"/>
      <c r="I85" s="416"/>
    </row>
    <row r="86" spans="1:11" x14ac:dyDescent="0.4">
      <c r="B86" s="517"/>
      <c r="C86" s="414" t="s">
        <v>1352</v>
      </c>
      <c r="D86" s="415"/>
      <c r="E86" s="415"/>
      <c r="F86" s="806"/>
      <c r="I86" s="416"/>
    </row>
    <row r="87" spans="1:11" s="361" customFormat="1" ht="19.5" customHeight="1" thickBot="1" x14ac:dyDescent="0.5">
      <c r="A87" s="360"/>
      <c r="B87" s="354" t="s">
        <v>1371</v>
      </c>
      <c r="C87" s="362"/>
      <c r="D87" s="362"/>
      <c r="E87" s="362"/>
      <c r="F87" s="362"/>
      <c r="G87" s="362"/>
    </row>
    <row r="88" spans="1:11" s="361" customFormat="1" ht="19.5" customHeight="1" x14ac:dyDescent="0.45">
      <c r="A88" s="360"/>
      <c r="B88" s="2239" t="s">
        <v>1222</v>
      </c>
      <c r="C88" s="2240"/>
      <c r="D88" s="363"/>
      <c r="E88" s="2244" t="s">
        <v>1223</v>
      </c>
      <c r="F88" s="2244"/>
      <c r="G88" s="2244"/>
      <c r="H88" s="2244"/>
      <c r="I88" s="2244"/>
      <c r="J88" s="2244"/>
      <c r="K88" s="2245"/>
    </row>
    <row r="89" spans="1:11" s="361" customFormat="1" ht="19.5" customHeight="1" x14ac:dyDescent="0.45">
      <c r="A89" s="360"/>
      <c r="B89" s="2241"/>
      <c r="C89" s="1761"/>
      <c r="D89" s="364"/>
      <c r="E89" s="364"/>
      <c r="F89" s="364"/>
      <c r="G89" s="521"/>
      <c r="H89" s="2246" t="s">
        <v>1224</v>
      </c>
      <c r="I89" s="2247"/>
      <c r="J89" s="2246" t="s">
        <v>1225</v>
      </c>
      <c r="K89" s="2248"/>
    </row>
    <row r="90" spans="1:11" s="361" customFormat="1" ht="19.5" customHeight="1" thickBot="1" x14ac:dyDescent="0.5">
      <c r="A90" s="360"/>
      <c r="B90" s="2242"/>
      <c r="C90" s="2243"/>
      <c r="D90" s="365"/>
      <c r="E90" s="366" t="s">
        <v>1226</v>
      </c>
      <c r="F90" s="2202" t="s">
        <v>1227</v>
      </c>
      <c r="G90" s="2203"/>
      <c r="H90" s="366" t="s">
        <v>1226</v>
      </c>
      <c r="I90" s="366" t="s">
        <v>1227</v>
      </c>
      <c r="J90" s="366" t="s">
        <v>1226</v>
      </c>
      <c r="K90" s="367" t="s">
        <v>1227</v>
      </c>
    </row>
    <row r="91" spans="1:11" s="361" customFormat="1" ht="19.5" customHeight="1" x14ac:dyDescent="0.45">
      <c r="A91" s="360"/>
      <c r="B91" s="368" t="s">
        <v>1228</v>
      </c>
      <c r="C91" s="369" t="s">
        <v>1361</v>
      </c>
      <c r="D91" s="370"/>
      <c r="E91" s="370">
        <f>SUMIFS($G$10:$G$50,$C$10:$C$50,C91)</f>
        <v>1800000</v>
      </c>
      <c r="F91" s="2204"/>
      <c r="G91" s="2205"/>
      <c r="H91" s="371">
        <f>SUMIFS($G$10:$G$50,$C$10:$C$50,C91,$D$10:$D$50,"&gt;=4")</f>
        <v>1800000</v>
      </c>
      <c r="I91" s="372"/>
      <c r="J91" s="373">
        <f>SUMIFS($G$10:$G$50,$C$10:$C$50,C91,$D$10:$D$50,"&lt;=3")</f>
        <v>0</v>
      </c>
      <c r="K91" s="374"/>
    </row>
    <row r="92" spans="1:11" s="361" customFormat="1" ht="19.5" customHeight="1" x14ac:dyDescent="0.45">
      <c r="A92" s="360"/>
      <c r="B92" s="375"/>
      <c r="C92" s="376" t="s">
        <v>1363</v>
      </c>
      <c r="D92" s="376"/>
      <c r="E92" s="377">
        <f>SUMIFS($G$10:$G$50,$C$10:$C$50,C92)</f>
        <v>4800000</v>
      </c>
      <c r="F92" s="2206"/>
      <c r="G92" s="2207"/>
      <c r="H92" s="377">
        <f>SUMIFS($G$10:$G$50,$C$10:$C$50,C92,$D$10:$D$50,"&gt;=4")</f>
        <v>4800000</v>
      </c>
      <c r="I92" s="378"/>
      <c r="J92" s="379">
        <f>SUMIFS($G$10:$G$50,$C$10:$C$50,C92,$D$10:$D$50,"&lt;=3")</f>
        <v>0</v>
      </c>
      <c r="K92" s="380"/>
    </row>
    <row r="93" spans="1:11" s="361" customFormat="1" ht="19.5" customHeight="1" thickBot="1" x14ac:dyDescent="0.5">
      <c r="A93" s="360"/>
      <c r="B93" s="381"/>
      <c r="C93" s="382" t="s">
        <v>1364</v>
      </c>
      <c r="D93" s="383"/>
      <c r="E93" s="384">
        <f>SUMIFS($G$10:$G$50,$C$10:$C$50,C93)</f>
        <v>20290</v>
      </c>
      <c r="F93" s="2206"/>
      <c r="G93" s="2207"/>
      <c r="H93" s="384">
        <f>SUMIFS($G$10:$G$50,$C$10:$C$50,C93,$D$10:$D$50,"&gt;=4")</f>
        <v>20170</v>
      </c>
      <c r="I93" s="385"/>
      <c r="J93" s="386">
        <f>SUMIFS($G$10:$G$50,$C$10:$C$50,C93,$D$10:$D$50,"&lt;=3")</f>
        <v>120</v>
      </c>
      <c r="K93" s="387"/>
    </row>
    <row r="94" spans="1:11" s="361" customFormat="1" ht="19.5" customHeight="1" x14ac:dyDescent="0.45">
      <c r="A94" s="360"/>
      <c r="B94" s="368" t="s">
        <v>1191</v>
      </c>
      <c r="C94" s="369" t="s">
        <v>1323</v>
      </c>
      <c r="D94" s="369"/>
      <c r="E94" s="372"/>
      <c r="F94" s="2208">
        <f t="shared" ref="F94:F110" si="1">SUMIFS($H$10:$H$50,$C$10:$C$50,C94)</f>
        <v>2550000</v>
      </c>
      <c r="G94" s="2209"/>
      <c r="H94" s="372"/>
      <c r="I94" s="388">
        <f>SUMIFS($H$10:$H$50,$C$10:$C$50,C94,$D$10:$D$50,"&gt;=4")</f>
        <v>2400000</v>
      </c>
      <c r="J94" s="372"/>
      <c r="K94" s="389">
        <f>SUMIFS($H$10:$H$39,$C$10:$C$39,C94,$D$10:$D$39,"&lt;=3")</f>
        <v>0</v>
      </c>
    </row>
    <row r="95" spans="1:11" s="361" customFormat="1" ht="19.5" customHeight="1" thickBot="1" x14ac:dyDescent="0.5">
      <c r="A95" s="360"/>
      <c r="B95" s="381"/>
      <c r="C95" s="382" t="s">
        <v>1324</v>
      </c>
      <c r="D95" s="382"/>
      <c r="E95" s="385"/>
      <c r="F95" s="2210">
        <f t="shared" si="1"/>
        <v>100000</v>
      </c>
      <c r="G95" s="2211"/>
      <c r="H95" s="385"/>
      <c r="I95" s="390">
        <f>SUMIFS($H$10:$H$50,$C$10:$C$50,C95,$D$10:$D$50,"&gt;=4")</f>
        <v>100000</v>
      </c>
      <c r="J95" s="385"/>
      <c r="K95" s="391">
        <f>SUMIFS($H$10:$H$39,$C$10:$C$39,C95,$D$10:$D$39,"&lt;=3")</f>
        <v>0</v>
      </c>
    </row>
    <row r="96" spans="1:11" s="361" customFormat="1" ht="19.5" customHeight="1" x14ac:dyDescent="0.45">
      <c r="A96" s="360"/>
      <c r="B96" s="368" t="s">
        <v>1229</v>
      </c>
      <c r="C96" s="369" t="s">
        <v>1325</v>
      </c>
      <c r="D96" s="369"/>
      <c r="E96" s="372"/>
      <c r="F96" s="2208">
        <f t="shared" si="1"/>
        <v>250000</v>
      </c>
      <c r="G96" s="2209"/>
      <c r="H96" s="372"/>
      <c r="I96" s="392">
        <f>SUMIFS($H$10:$H$50,$C$10:$C$50,C96,$D$10:$D$50,"&gt;=4")</f>
        <v>250000</v>
      </c>
      <c r="J96" s="372"/>
      <c r="K96" s="393">
        <f>SUMIFS($H$10:$H$39,$C$10:$C$39,C96,$D$10:$D$39,"&lt;=3")</f>
        <v>0</v>
      </c>
    </row>
    <row r="97" spans="1:15" s="361" customFormat="1" ht="19.5" customHeight="1" x14ac:dyDescent="0.45">
      <c r="A97" s="360"/>
      <c r="B97" s="375"/>
      <c r="C97" s="376" t="s">
        <v>1326</v>
      </c>
      <c r="D97" s="376"/>
      <c r="E97" s="378"/>
      <c r="F97" s="2212">
        <f t="shared" si="1"/>
        <v>655000</v>
      </c>
      <c r="G97" s="2213"/>
      <c r="H97" s="378"/>
      <c r="I97" s="377">
        <f>SUMIFS($H$10:$H$50,$C$10:$C$50,C97,$D$10:$D$50,"&gt;=4")</f>
        <v>405000</v>
      </c>
      <c r="J97" s="378"/>
      <c r="K97" s="394">
        <f>SUMIFS($H$10:$H$39,$C$10:$C$39,C97,$D$10:$D$39,"&lt;=3")</f>
        <v>250000</v>
      </c>
    </row>
    <row r="98" spans="1:15" s="361" customFormat="1" ht="19.5" customHeight="1" x14ac:dyDescent="0.45">
      <c r="A98" s="360"/>
      <c r="B98" s="375"/>
      <c r="C98" s="376" t="s">
        <v>1328</v>
      </c>
      <c r="D98" s="376"/>
      <c r="E98" s="378"/>
      <c r="F98" s="2212">
        <f t="shared" si="1"/>
        <v>120000</v>
      </c>
      <c r="G98" s="2213"/>
      <c r="H98" s="378"/>
      <c r="I98" s="377">
        <f>SUMIFS($H$10:$H$50,$C$10:$C$50,C98,$D$10:$D$50,"&gt;=4")</f>
        <v>80000</v>
      </c>
      <c r="J98" s="378"/>
      <c r="K98" s="394">
        <f>SUMIFS($H$10:$H$39,$C$10:$C$39,C98,$D$10:$D$39,"&lt;=3")</f>
        <v>40000</v>
      </c>
    </row>
    <row r="99" spans="1:15" s="361" customFormat="1" ht="19.5" customHeight="1" x14ac:dyDescent="0.45">
      <c r="A99" s="360"/>
      <c r="B99" s="375"/>
      <c r="C99" s="376" t="s">
        <v>1330</v>
      </c>
      <c r="D99" s="376"/>
      <c r="E99" s="378"/>
      <c r="F99" s="2212">
        <f t="shared" si="1"/>
        <v>380000</v>
      </c>
      <c r="G99" s="2213"/>
      <c r="H99" s="378"/>
      <c r="I99" s="377">
        <f t="shared" ref="I99:I109" si="2">SUMIFS($H$10:$H$50,$C$10:$C$50,C99,$D$10:$D$50,"&gt;=4")</f>
        <v>180000</v>
      </c>
      <c r="J99" s="378"/>
      <c r="K99" s="394">
        <f t="shared" ref="K99:K109" si="3">SUMIFS($H$10:$H$39,$C$10:$C$39,C99,$D$10:$D$39,"&lt;=3")</f>
        <v>200000</v>
      </c>
    </row>
    <row r="100" spans="1:15" s="361" customFormat="1" ht="19.5" customHeight="1" x14ac:dyDescent="0.45">
      <c r="A100" s="360"/>
      <c r="B100" s="375"/>
      <c r="C100" s="376" t="s">
        <v>1332</v>
      </c>
      <c r="D100" s="376"/>
      <c r="E100" s="378"/>
      <c r="F100" s="2212">
        <f t="shared" si="1"/>
        <v>400000</v>
      </c>
      <c r="G100" s="2213"/>
      <c r="H100" s="378"/>
      <c r="I100" s="377">
        <f t="shared" si="2"/>
        <v>400000</v>
      </c>
      <c r="J100" s="378"/>
      <c r="K100" s="394">
        <f t="shared" si="3"/>
        <v>0</v>
      </c>
    </row>
    <row r="101" spans="1:15" s="361" customFormat="1" ht="19.5" customHeight="1" x14ac:dyDescent="0.45">
      <c r="A101" s="360"/>
      <c r="B101" s="375"/>
      <c r="C101" s="376" t="s">
        <v>1334</v>
      </c>
      <c r="D101" s="376"/>
      <c r="E101" s="378"/>
      <c r="F101" s="2212">
        <f t="shared" si="1"/>
        <v>30000</v>
      </c>
      <c r="G101" s="2213"/>
      <c r="H101" s="378"/>
      <c r="I101" s="377">
        <f t="shared" si="2"/>
        <v>30000</v>
      </c>
      <c r="J101" s="378"/>
      <c r="K101" s="394">
        <f t="shared" si="3"/>
        <v>0</v>
      </c>
    </row>
    <row r="102" spans="1:15" s="361" customFormat="1" ht="19.5" customHeight="1" x14ac:dyDescent="0.45">
      <c r="A102" s="360"/>
      <c r="B102" s="375"/>
      <c r="C102" s="376" t="s">
        <v>1336</v>
      </c>
      <c r="D102" s="376"/>
      <c r="E102" s="378"/>
      <c r="F102" s="2212">
        <f t="shared" si="1"/>
        <v>100000</v>
      </c>
      <c r="G102" s="2213"/>
      <c r="H102" s="378"/>
      <c r="I102" s="377">
        <f t="shared" si="2"/>
        <v>0</v>
      </c>
      <c r="J102" s="378"/>
      <c r="K102" s="394">
        <f t="shared" si="3"/>
        <v>100000</v>
      </c>
    </row>
    <row r="103" spans="1:15" s="361" customFormat="1" ht="19.5" customHeight="1" x14ac:dyDescent="0.45">
      <c r="A103" s="360"/>
      <c r="B103" s="375"/>
      <c r="C103" s="376" t="s">
        <v>1338</v>
      </c>
      <c r="D103" s="376"/>
      <c r="E103" s="378"/>
      <c r="F103" s="2212">
        <f t="shared" si="1"/>
        <v>0</v>
      </c>
      <c r="G103" s="2213"/>
      <c r="H103" s="378"/>
      <c r="I103" s="377">
        <f t="shared" si="2"/>
        <v>0</v>
      </c>
      <c r="J103" s="378"/>
      <c r="K103" s="394">
        <f t="shared" si="3"/>
        <v>0</v>
      </c>
    </row>
    <row r="104" spans="1:15" s="361" customFormat="1" ht="19.5" customHeight="1" x14ac:dyDescent="0.45">
      <c r="A104" s="360"/>
      <c r="B104" s="375"/>
      <c r="C104" s="376" t="s">
        <v>1340</v>
      </c>
      <c r="D104" s="376"/>
      <c r="E104" s="378"/>
      <c r="F104" s="2212">
        <f t="shared" si="1"/>
        <v>60000</v>
      </c>
      <c r="G104" s="2213"/>
      <c r="H104" s="378"/>
      <c r="I104" s="377">
        <f t="shared" si="2"/>
        <v>60000</v>
      </c>
      <c r="J104" s="378"/>
      <c r="K104" s="394">
        <f t="shared" si="3"/>
        <v>0</v>
      </c>
    </row>
    <row r="105" spans="1:15" s="361" customFormat="1" ht="19.5" customHeight="1" x14ac:dyDescent="0.45">
      <c r="A105" s="360"/>
      <c r="B105" s="375"/>
      <c r="C105" s="376" t="s">
        <v>1342</v>
      </c>
      <c r="D105" s="376"/>
      <c r="E105" s="378"/>
      <c r="F105" s="2212">
        <f t="shared" si="1"/>
        <v>50001</v>
      </c>
      <c r="G105" s="2213"/>
      <c r="H105" s="378"/>
      <c r="I105" s="377">
        <f t="shared" si="2"/>
        <v>0</v>
      </c>
      <c r="J105" s="378"/>
      <c r="K105" s="394">
        <f t="shared" si="3"/>
        <v>50001</v>
      </c>
    </row>
    <row r="106" spans="1:15" s="361" customFormat="1" ht="19.5" customHeight="1" x14ac:dyDescent="0.45">
      <c r="A106" s="360"/>
      <c r="B106" s="375"/>
      <c r="C106" s="376" t="s">
        <v>1344</v>
      </c>
      <c r="D106" s="376"/>
      <c r="E106" s="378"/>
      <c r="F106" s="2212">
        <f t="shared" si="1"/>
        <v>0</v>
      </c>
      <c r="G106" s="2213"/>
      <c r="H106" s="378"/>
      <c r="I106" s="377">
        <f t="shared" si="2"/>
        <v>0</v>
      </c>
      <c r="J106" s="378"/>
      <c r="K106" s="394">
        <f t="shared" si="3"/>
        <v>0</v>
      </c>
    </row>
    <row r="107" spans="1:15" s="361" customFormat="1" ht="19.5" customHeight="1" x14ac:dyDescent="0.45">
      <c r="A107" s="360"/>
      <c r="B107" s="375"/>
      <c r="C107" s="376" t="s">
        <v>1346</v>
      </c>
      <c r="D107" s="376"/>
      <c r="E107" s="378"/>
      <c r="F107" s="2212">
        <f t="shared" si="1"/>
        <v>2000</v>
      </c>
      <c r="G107" s="2213"/>
      <c r="H107" s="378"/>
      <c r="I107" s="377">
        <f t="shared" si="2"/>
        <v>0</v>
      </c>
      <c r="J107" s="378"/>
      <c r="K107" s="394">
        <f t="shared" si="3"/>
        <v>2000</v>
      </c>
    </row>
    <row r="108" spans="1:15" s="361" customFormat="1" ht="19.5" customHeight="1" x14ac:dyDescent="0.45">
      <c r="A108" s="360"/>
      <c r="B108" s="375"/>
      <c r="C108" s="376" t="s">
        <v>1348</v>
      </c>
      <c r="D108" s="376"/>
      <c r="E108" s="378"/>
      <c r="F108" s="2212">
        <f t="shared" si="1"/>
        <v>50000</v>
      </c>
      <c r="G108" s="2213"/>
      <c r="H108" s="378"/>
      <c r="I108" s="377">
        <f t="shared" si="2"/>
        <v>0</v>
      </c>
      <c r="J108" s="378"/>
      <c r="K108" s="394">
        <f t="shared" si="3"/>
        <v>50000</v>
      </c>
    </row>
    <row r="109" spans="1:15" s="361" customFormat="1" ht="19.5" customHeight="1" x14ac:dyDescent="0.45">
      <c r="A109" s="360"/>
      <c r="B109" s="375"/>
      <c r="C109" s="376" t="s">
        <v>1350</v>
      </c>
      <c r="D109" s="376"/>
      <c r="E109" s="378"/>
      <c r="F109" s="2212">
        <f t="shared" si="1"/>
        <v>100000</v>
      </c>
      <c r="G109" s="2213"/>
      <c r="H109" s="378"/>
      <c r="I109" s="377">
        <f t="shared" si="2"/>
        <v>0</v>
      </c>
      <c r="J109" s="378"/>
      <c r="K109" s="394">
        <f t="shared" si="3"/>
        <v>100000</v>
      </c>
    </row>
    <row r="110" spans="1:15" s="361" customFormat="1" ht="19.5" customHeight="1" thickBot="1" x14ac:dyDescent="0.5">
      <c r="A110" s="360"/>
      <c r="B110" s="381"/>
      <c r="C110" s="382" t="s">
        <v>1352</v>
      </c>
      <c r="D110" s="382"/>
      <c r="E110" s="385"/>
      <c r="F110" s="2210">
        <f t="shared" si="1"/>
        <v>73000</v>
      </c>
      <c r="G110" s="2211"/>
      <c r="H110" s="385"/>
      <c r="I110" s="390">
        <f>SUMIFS($H$10:$H$50,$C$10:$C$50,C110,$D$10:$D$50,"&gt;=4")</f>
        <v>0</v>
      </c>
      <c r="J110" s="385"/>
      <c r="K110" s="391">
        <f>SUMIFS($H$10:$H$39,$C$10:$C$39,C110,$D$10:$D$39,"&lt;=3")</f>
        <v>50000</v>
      </c>
    </row>
    <row r="111" spans="1:15" s="361" customFormat="1" ht="19.5" customHeight="1" thickBot="1" x14ac:dyDescent="0.5">
      <c r="A111" s="360"/>
      <c r="B111" s="381" t="s">
        <v>1230</v>
      </c>
      <c r="C111" s="383" t="s">
        <v>1231</v>
      </c>
      <c r="D111" s="383"/>
      <c r="E111" s="395"/>
      <c r="F111" s="2227">
        <f>'金銭出納簿（今年度）（参考）'!$I$51</f>
        <v>1700289</v>
      </c>
      <c r="G111" s="2228"/>
      <c r="H111" s="395"/>
      <c r="I111" s="395"/>
      <c r="J111" s="395"/>
      <c r="K111" s="522">
        <f>'金銭出納簿（今年度）（参考）'!$I$51</f>
        <v>1700289</v>
      </c>
    </row>
    <row r="112" spans="1:15" s="361" customFormat="1" ht="24.6" customHeight="1" thickBot="1" x14ac:dyDescent="0.5">
      <c r="A112" s="360"/>
      <c r="B112" s="2192" t="s">
        <v>1232</v>
      </c>
      <c r="C112" s="2193"/>
      <c r="D112" s="396"/>
      <c r="E112" s="397">
        <f>SUM(E91:E93)</f>
        <v>6620290</v>
      </c>
      <c r="F112" s="2214">
        <f>SUM(F94:G111)</f>
        <v>6620290</v>
      </c>
      <c r="G112" s="2215"/>
      <c r="H112" s="397">
        <f>SUM(H91:H93)</f>
        <v>6620170</v>
      </c>
      <c r="I112" s="397">
        <f>SUM(I94:I111)</f>
        <v>3905000</v>
      </c>
      <c r="J112" s="397">
        <f>SUM(J91:J93)</f>
        <v>120</v>
      </c>
      <c r="K112" s="523">
        <f>SUM(K94:K111)</f>
        <v>2542290</v>
      </c>
      <c r="N112" s="360"/>
      <c r="O112" s="398"/>
    </row>
    <row r="113" spans="2:12" ht="18.75" x14ac:dyDescent="0.45">
      <c r="B113" s="399"/>
      <c r="C113" s="400"/>
      <c r="D113" s="400"/>
      <c r="E113" s="400"/>
      <c r="F113" s="400"/>
      <c r="G113" s="401"/>
      <c r="H113" s="361"/>
      <c r="I113" s="361"/>
      <c r="J113" s="361"/>
      <c r="K113" s="361"/>
      <c r="L113" s="361"/>
    </row>
  </sheetData>
  <mergeCells count="47">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 ref="F99:G99"/>
    <mergeCell ref="F100:G100"/>
    <mergeCell ref="F91:G91"/>
    <mergeCell ref="F92:G92"/>
    <mergeCell ref="F93:G93"/>
    <mergeCell ref="F94:G94"/>
    <mergeCell ref="F95:G95"/>
    <mergeCell ref="B60:C60"/>
    <mergeCell ref="F60:J60"/>
    <mergeCell ref="B61:K61"/>
    <mergeCell ref="B62:C62"/>
    <mergeCell ref="F98:G98"/>
    <mergeCell ref="G62:K62"/>
    <mergeCell ref="B88:C90"/>
    <mergeCell ref="E88:K88"/>
    <mergeCell ref="H89:I89"/>
    <mergeCell ref="J89:K89"/>
    <mergeCell ref="F90:G90"/>
    <mergeCell ref="G4:I4"/>
    <mergeCell ref="B57:C57"/>
    <mergeCell ref="B59:C59"/>
    <mergeCell ref="F59:J59"/>
    <mergeCell ref="F57:J57"/>
    <mergeCell ref="B58:C58"/>
    <mergeCell ref="F58:J58"/>
    <mergeCell ref="B56:C56"/>
    <mergeCell ref="B6:N6"/>
    <mergeCell ref="B7:N7"/>
    <mergeCell ref="B8:N8"/>
    <mergeCell ref="B51:E51"/>
    <mergeCell ref="F56:G56"/>
  </mergeCells>
  <phoneticPr fontId="3"/>
  <dataValidations count="6">
    <dataValidation imeMode="off" allowBlank="1" showInputMessage="1" showErrorMessage="1" sqref="B10:B50 B61 G10:H49 J10:K49"/>
    <dataValidation type="list" allowBlank="1" showInputMessage="1" showErrorMessage="1" sqref="F10:F49">
      <formula1>Ｉ.金銭出納簿の区分</formula1>
    </dataValidation>
    <dataValidation type="list" allowBlank="1" showInputMessage="1" showErrorMessage="1" sqref="B57:B60">
      <formula1>$I$67:$I$74</formula1>
    </dataValidation>
    <dataValidation type="list" allowBlank="1" showInputMessage="1" showErrorMessage="1" prompt="年度を選択" sqref="G3">
      <formula1>"令和6年度,令和7年度,令和8年度,令和9年度,令和10年度,令和11年度"</formula1>
    </dataValidation>
    <dataValidation type="list" allowBlank="1" showInputMessage="1" showErrorMessage="1" sqref="C10:C49 E10:E49">
      <formula1>$C$67:$C$86</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64" fitToHeight="0" orientation="landscape" r:id="rId1"/>
  <headerFooter alignWithMargins="0"/>
  <rowBreaks count="1" manualBreakCount="1">
    <brk id="61"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X67"/>
  <sheetViews>
    <sheetView showGridLines="0" topLeftCell="C1" zoomScale="124" zoomScaleNormal="96" zoomScaleSheetLayoutView="120" workbookViewId="0">
      <selection activeCell="S8" sqref="S8"/>
    </sheetView>
  </sheetViews>
  <sheetFormatPr defaultColWidth="9" defaultRowHeight="18.75" x14ac:dyDescent="0.15"/>
  <cols>
    <col min="1" max="1" width="2.75" style="515" customWidth="1"/>
    <col min="2" max="2" width="7.25" style="515" customWidth="1"/>
    <col min="3" max="3" width="7.75" style="515" customWidth="1"/>
    <col min="4" max="4" width="8" style="515" customWidth="1"/>
    <col min="5" max="5" width="6.375" style="515" customWidth="1"/>
    <col min="6" max="7" width="7" style="515" customWidth="1"/>
    <col min="8" max="13" width="4.875" style="515" customWidth="1"/>
    <col min="14" max="14" width="9.125" style="515" customWidth="1"/>
    <col min="15" max="15" width="12.375" style="515" customWidth="1"/>
    <col min="16" max="16" width="21" style="515" customWidth="1"/>
    <col min="17" max="17" width="26" style="515" customWidth="1"/>
    <col min="18" max="25" width="7.625" style="515" customWidth="1"/>
    <col min="26" max="16384" width="9" style="515"/>
  </cols>
  <sheetData>
    <row r="1" spans="1:24" ht="19.5" x14ac:dyDescent="0.15">
      <c r="A1" s="497" t="s">
        <v>1375</v>
      </c>
      <c r="B1" s="536"/>
      <c r="Q1" s="537"/>
    </row>
    <row r="2" spans="1:24" ht="24" customHeight="1" x14ac:dyDescent="0.45">
      <c r="A2" s="538" t="s">
        <v>1271</v>
      </c>
      <c r="C2" s="539"/>
      <c r="D2" s="539"/>
      <c r="E2" s="539"/>
      <c r="F2" s="539"/>
      <c r="G2" s="539"/>
      <c r="H2" s="539"/>
      <c r="I2" s="539"/>
      <c r="J2" s="539"/>
      <c r="K2" s="539"/>
      <c r="L2" s="539"/>
      <c r="M2" s="539"/>
      <c r="N2" s="539"/>
      <c r="Q2" s="540" t="s">
        <v>1376</v>
      </c>
      <c r="R2" s="539"/>
      <c r="S2" s="539"/>
      <c r="T2" s="539"/>
      <c r="U2" s="539"/>
      <c r="V2" s="539"/>
      <c r="W2" s="539"/>
    </row>
    <row r="3" spans="1:24" ht="27" customHeight="1" x14ac:dyDescent="0.15">
      <c r="C3" s="541"/>
      <c r="D3" s="541"/>
      <c r="E3" s="541"/>
      <c r="F3" s="433"/>
      <c r="G3" s="541" t="s">
        <v>1377</v>
      </c>
      <c r="H3" s="341" t="s">
        <v>1378</v>
      </c>
      <c r="I3" s="541"/>
      <c r="J3" s="541"/>
      <c r="K3" s="541"/>
      <c r="L3" s="541"/>
      <c r="N3" s="541"/>
      <c r="O3" s="541"/>
      <c r="Q3" s="542"/>
    </row>
    <row r="4" spans="1:24" ht="27" customHeight="1" x14ac:dyDescent="0.15">
      <c r="B4" s="516" t="s">
        <v>1379</v>
      </c>
      <c r="C4" s="543"/>
      <c r="D4" s="543"/>
      <c r="E4" s="543"/>
      <c r="F4" s="543"/>
      <c r="G4" s="543"/>
      <c r="H4" s="543"/>
      <c r="I4" s="543"/>
      <c r="J4" s="543"/>
      <c r="K4" s="543"/>
      <c r="L4" s="543"/>
      <c r="M4" s="543"/>
      <c r="N4" s="516"/>
      <c r="O4" s="543"/>
      <c r="P4" s="543"/>
      <c r="Q4" s="543"/>
    </row>
    <row r="5" spans="1:24" ht="50.25" customHeight="1" x14ac:dyDescent="0.15">
      <c r="B5" s="2249" t="s">
        <v>1380</v>
      </c>
      <c r="C5" s="2250"/>
      <c r="D5" s="2250"/>
      <c r="E5" s="2250"/>
      <c r="F5" s="2250"/>
      <c r="G5" s="2250"/>
      <c r="H5" s="2250"/>
      <c r="I5" s="2250"/>
      <c r="J5" s="2250"/>
      <c r="K5" s="2250"/>
      <c r="L5" s="2250"/>
      <c r="M5" s="2250"/>
      <c r="N5" s="2250"/>
      <c r="O5" s="2250"/>
      <c r="P5" s="2250"/>
      <c r="Q5" s="2250"/>
    </row>
    <row r="6" spans="1:24" ht="19.5" customHeight="1" x14ac:dyDescent="0.15">
      <c r="B6" s="2160" t="s">
        <v>1381</v>
      </c>
      <c r="C6" s="2160"/>
      <c r="D6" s="2160"/>
      <c r="E6" s="2161" t="s">
        <v>1382</v>
      </c>
      <c r="F6" s="2161"/>
      <c r="G6" s="2161"/>
      <c r="H6" s="2165" t="s">
        <v>1383</v>
      </c>
      <c r="I6" s="2166"/>
      <c r="J6" s="2166"/>
      <c r="K6" s="2166"/>
      <c r="L6" s="2166"/>
      <c r="M6" s="2166"/>
      <c r="N6" s="2161" t="s">
        <v>1384</v>
      </c>
      <c r="O6" s="2161"/>
      <c r="P6" s="2161"/>
      <c r="Q6" s="2160" t="s">
        <v>1385</v>
      </c>
      <c r="R6" s="2158"/>
      <c r="S6" s="2159"/>
      <c r="T6" s="2159"/>
      <c r="U6" s="2159"/>
      <c r="V6" s="2159"/>
      <c r="W6" s="2159"/>
      <c r="X6" s="2159"/>
    </row>
    <row r="7" spans="1:24" ht="18" customHeight="1" x14ac:dyDescent="0.15">
      <c r="B7" s="2160" t="s">
        <v>1386</v>
      </c>
      <c r="C7" s="2161" t="s">
        <v>1387</v>
      </c>
      <c r="D7" s="2161"/>
      <c r="E7" s="2161" t="s">
        <v>1388</v>
      </c>
      <c r="F7" s="2160" t="s">
        <v>1389</v>
      </c>
      <c r="G7" s="2160" t="s">
        <v>1390</v>
      </c>
      <c r="H7" s="2167"/>
      <c r="I7" s="2168"/>
      <c r="J7" s="2168"/>
      <c r="K7" s="2168"/>
      <c r="L7" s="2168"/>
      <c r="M7" s="2168"/>
      <c r="N7" s="2161" t="s">
        <v>1391</v>
      </c>
      <c r="O7" s="2160" t="s">
        <v>1392</v>
      </c>
      <c r="P7" s="2161" t="s">
        <v>1393</v>
      </c>
      <c r="Q7" s="2161"/>
      <c r="R7" s="2158"/>
      <c r="S7" s="2159"/>
      <c r="T7" s="2159"/>
      <c r="U7" s="2159"/>
      <c r="V7" s="2159"/>
      <c r="W7" s="2159"/>
      <c r="X7" s="2159"/>
    </row>
    <row r="8" spans="1:24" ht="21" customHeight="1" x14ac:dyDescent="0.15">
      <c r="B8" s="2160"/>
      <c r="C8" s="544" t="s">
        <v>1394</v>
      </c>
      <c r="D8" s="544" t="s">
        <v>1387</v>
      </c>
      <c r="E8" s="2161"/>
      <c r="F8" s="2160"/>
      <c r="G8" s="2161"/>
      <c r="H8" s="2169"/>
      <c r="I8" s="2170"/>
      <c r="J8" s="2170"/>
      <c r="K8" s="2170"/>
      <c r="L8" s="2170"/>
      <c r="M8" s="2170"/>
      <c r="N8" s="2161"/>
      <c r="O8" s="2160"/>
      <c r="P8" s="2161"/>
      <c r="Q8" s="2161"/>
      <c r="R8" s="2158"/>
      <c r="S8" s="2159"/>
      <c r="T8" s="2159"/>
      <c r="U8" s="2159"/>
      <c r="V8" s="2159"/>
      <c r="W8" s="2159"/>
      <c r="X8" s="2159"/>
    </row>
    <row r="9" spans="1:24" x14ac:dyDescent="0.15">
      <c r="A9" s="545"/>
      <c r="B9" s="546"/>
      <c r="C9" s="547"/>
      <c r="D9" s="548"/>
      <c r="E9" s="549"/>
      <c r="F9" s="549"/>
      <c r="G9" s="550">
        <f>SUM(E9+F9)</f>
        <v>0</v>
      </c>
      <c r="H9" s="551"/>
      <c r="I9" s="551"/>
      <c r="J9" s="551"/>
      <c r="K9" s="551"/>
      <c r="L9" s="551"/>
      <c r="M9" s="551"/>
      <c r="N9" s="552" t="str">
        <f>IF(H9="","",(IFERROR(VLOOKUP($H9,【選択肢】!$K$3:$O$86,2,)," ")&amp;IF(I9="","",","&amp;IFERROR(VLOOKUP($I9,【選択肢】!$K$3:$O$86,2,)," ")&amp;IF(J9="","",","&amp;IFERROR(VLOOKUP($J9,【選択肢】!$K$3:$O$86,2,)," ")&amp;IF(K9="","",","&amp;IFERROR(VLOOKUP($K9,【選択肢】!$K$3:$O$86,2,)," ")&amp;IF(L9="","",","&amp;IFERROR(VLOOKUP($L9,【選択肢】!$K$3:$O$86,2,)," ")&amp;IF(M9="","",","&amp;IFERROR(VLOOKUP($M9,【選択肢】!$K$3:$O$86,2,)," "))))))))</f>
        <v/>
      </c>
      <c r="O9" s="552" t="str">
        <f>IF(H9="","",(IFERROR(VLOOKUP($H9,【選択肢】!$K$3:$O$86,4,)," ")&amp;IF(I9="","",","&amp;IFERROR(VLOOKUP($I9,【選択肢】!$K$3:$O$86,4,)," ")&amp;IF(J9="","",","&amp;IFERROR(VLOOKUP($J9,【選択肢】!$K$3:$O$86,4,)," ")&amp;IF(K9="","",","&amp;IFERROR(VLOOKUP($K9,【選択肢】!$K$3:$O$86,4,)," ")&amp;IF(L9="","",","&amp;IFERROR(VLOOKUP($L9,【選択肢】!$K$3:$O$86,4,)," ")&amp;IF(M9="","",","&amp;IFERROR(VLOOKUP($M9,【選択肢】!$K$3:$O$86,4,)," "))))))))</f>
        <v/>
      </c>
      <c r="P9" s="552" t="str">
        <f>IF(H9="","",(IFERROR(VLOOKUP($H9,【選択肢】!$K$3:$O$86,5,)," ")&amp;IF(I9="","",","&amp;IFERROR(VLOOKUP($I9,【選択肢】!$K$3:$O$86,5,)," ")&amp;IF(J9="","",","&amp;IFERROR(VLOOKUP($J9,【選択肢】!$K$3:$O$86,5,)," ")&amp;IF(K9="","",","&amp;IFERROR(VLOOKUP($K9,【選択肢】!$K$3:$O$86,5,)," ")&amp;IF(L9="","",","&amp;IFERROR(VLOOKUP($L9,【選択肢】!$K$3:$O$86,5,)," ")&amp;IF(M9="","",","&amp;IFERROR(VLOOKUP($M9,【選択肢】!$K$3:$O$86,5,)," "))))))))</f>
        <v/>
      </c>
      <c r="Q9" s="553"/>
      <c r="R9" s="554"/>
      <c r="S9" s="545"/>
      <c r="T9" s="545"/>
      <c r="U9" s="545"/>
      <c r="V9" s="545"/>
      <c r="W9" s="545"/>
      <c r="X9" s="545"/>
    </row>
    <row r="10" spans="1:24" x14ac:dyDescent="0.15">
      <c r="B10" s="555"/>
      <c r="C10" s="556"/>
      <c r="D10" s="557"/>
      <c r="E10" s="558"/>
      <c r="F10" s="558"/>
      <c r="G10" s="559">
        <f>SUM(E10+F10)</f>
        <v>0</v>
      </c>
      <c r="H10" s="560"/>
      <c r="I10" s="560"/>
      <c r="J10" s="560"/>
      <c r="K10" s="560"/>
      <c r="L10" s="560"/>
      <c r="M10" s="560"/>
      <c r="N10" s="552" t="str">
        <f>IF(H10="","",(IFERROR(VLOOKUP($H10,【選択肢】!$K$3:$O$86,2,)," ")&amp;IF(I10="","",","&amp;IFERROR(VLOOKUP($I10,【選択肢】!$K$3:$O$86,2,)," ")&amp;IF(J10="","",","&amp;IFERROR(VLOOKUP($J10,【選択肢】!$K$3:$O$86,2,)," ")&amp;IF(K10="","",","&amp;IFERROR(VLOOKUP($K10,【選択肢】!$K$3:$O$86,2,)," ")&amp;IF(L10="","",","&amp;IFERROR(VLOOKUP($L10,【選択肢】!$K$3:$O$86,2,)," ")&amp;IF(M10="","",","&amp;IFERROR(VLOOKUP($M10,【選択肢】!$K$3:$O$86,2,)," "))))))))</f>
        <v/>
      </c>
      <c r="O10" s="552" t="str">
        <f>IF(H10="","",(IFERROR(VLOOKUP($H10,【選択肢】!$K$3:$O$86,4,)," ")&amp;IF(I10="","",","&amp;IFERROR(VLOOKUP($I10,【選択肢】!$K$3:$O$86,4,)," ")&amp;IF(J10="","",","&amp;IFERROR(VLOOKUP($J10,【選択肢】!$K$3:$O$86,4,)," ")&amp;IF(K10="","",","&amp;IFERROR(VLOOKUP($K10,【選択肢】!$K$3:$O$86,4,)," ")&amp;IF(L10="","",","&amp;IFERROR(VLOOKUP($L10,【選択肢】!$K$3:$O$86,4,)," ")&amp;IF(M10="","",","&amp;IFERROR(VLOOKUP($M10,【選択肢】!$K$3:$O$86,4,)," "))))))))</f>
        <v/>
      </c>
      <c r="P10" s="552" t="str">
        <f>IF(H10="","",(IFERROR(VLOOKUP($H10,【選択肢】!$K$3:$O$86,5,)," ")&amp;IF(I10="","",","&amp;IFERROR(VLOOKUP($I10,【選択肢】!$K$3:$O$86,5,)," ")&amp;IF(J10="","",","&amp;IFERROR(VLOOKUP($J10,【選択肢】!$K$3:$O$86,5,)," ")&amp;IF(K10="","",","&amp;IFERROR(VLOOKUP($K10,【選択肢】!$K$3:$O$86,5,)," ")&amp;IF(L10="","",","&amp;IFERROR(VLOOKUP($L10,【選択肢】!$K$3:$O$86,5,)," ")&amp;IF(M10="","",","&amp;IFERROR(VLOOKUP($M10,【選択肢】!$K$3:$O$86,5,)," "))))))))</f>
        <v/>
      </c>
      <c r="Q10" s="561"/>
      <c r="R10" s="554"/>
      <c r="S10" s="545"/>
      <c r="T10" s="545"/>
      <c r="U10" s="545"/>
      <c r="V10" s="545"/>
      <c r="W10" s="545"/>
      <c r="X10" s="545"/>
    </row>
    <row r="11" spans="1:24" x14ac:dyDescent="0.15">
      <c r="B11" s="555"/>
      <c r="C11" s="556"/>
      <c r="D11" s="557"/>
      <c r="E11" s="558"/>
      <c r="F11" s="558"/>
      <c r="G11" s="559">
        <f>SUM(E11+F11)</f>
        <v>0</v>
      </c>
      <c r="H11" s="560"/>
      <c r="I11" s="560"/>
      <c r="J11" s="560"/>
      <c r="K11" s="560"/>
      <c r="L11" s="560"/>
      <c r="M11" s="560"/>
      <c r="N11" s="552" t="str">
        <f>IF(H11="","",(IFERROR(VLOOKUP($H11,【選択肢】!$K$3:$O$86,2,)," ")&amp;IF(I11="","",","&amp;IFERROR(VLOOKUP($I11,【選択肢】!$K$3:$O$86,2,)," ")&amp;IF(J11="","",","&amp;IFERROR(VLOOKUP($J11,【選択肢】!$K$3:$O$86,2,)," ")&amp;IF(K11="","",","&amp;IFERROR(VLOOKUP($K11,【選択肢】!$K$3:$O$86,2,)," ")&amp;IF(L11="","",","&amp;IFERROR(VLOOKUP($L11,【選択肢】!$K$3:$O$86,2,)," ")&amp;IF(M11="","",","&amp;IFERROR(VLOOKUP($M11,【選択肢】!$K$3:$O$86,2,)," "))))))))</f>
        <v/>
      </c>
      <c r="O11" s="552" t="str">
        <f>IF(H11="","",(IFERROR(VLOOKUP($H11,【選択肢】!$K$3:$O$86,4,)," ")&amp;IF(I11="","",","&amp;IFERROR(VLOOKUP($I11,【選択肢】!$K$3:$O$86,4,)," ")&amp;IF(J11="","",","&amp;IFERROR(VLOOKUP($J11,【選択肢】!$K$3:$O$86,4,)," ")&amp;IF(K11="","",","&amp;IFERROR(VLOOKUP($K11,【選択肢】!$K$3:$O$86,4,)," ")&amp;IF(L11="","",","&amp;IFERROR(VLOOKUP($L11,【選択肢】!$K$3:$O$86,4,)," ")&amp;IF(M11="","",","&amp;IFERROR(VLOOKUP($M11,【選択肢】!$K$3:$O$86,4,)," "))))))))</f>
        <v/>
      </c>
      <c r="P11" s="552" t="str">
        <f>IF(H11="","",(IFERROR(VLOOKUP($H11,【選択肢】!$K$3:$O$86,5,)," ")&amp;IF(I11="","",","&amp;IFERROR(VLOOKUP($I11,【選択肢】!$K$3:$O$86,5,)," ")&amp;IF(J11="","",","&amp;IFERROR(VLOOKUP($J11,【選択肢】!$K$3:$O$86,5,)," ")&amp;IF(K11="","",","&amp;IFERROR(VLOOKUP($K11,【選択肢】!$K$3:$O$86,5,)," ")&amp;IF(L11="","",","&amp;IFERROR(VLOOKUP($L11,【選択肢】!$K$3:$O$86,5,)," ")&amp;IF(M11="","",","&amp;IFERROR(VLOOKUP($M11,【選択肢】!$K$3:$O$86,5,)," "))))))))</f>
        <v/>
      </c>
      <c r="Q11" s="561"/>
      <c r="R11" s="554"/>
      <c r="S11" s="545"/>
      <c r="T11" s="545"/>
      <c r="U11" s="545"/>
      <c r="V11" s="545"/>
      <c r="W11" s="545"/>
      <c r="X11" s="545"/>
    </row>
    <row r="12" spans="1:24" x14ac:dyDescent="0.15">
      <c r="B12" s="555"/>
      <c r="C12" s="562"/>
      <c r="D12" s="557"/>
      <c r="E12" s="558"/>
      <c r="F12" s="563"/>
      <c r="G12" s="559">
        <f>SUM(E12+F12)</f>
        <v>0</v>
      </c>
      <c r="H12" s="564"/>
      <c r="I12" s="564"/>
      <c r="J12" s="564"/>
      <c r="K12" s="564"/>
      <c r="L12" s="564"/>
      <c r="M12" s="564"/>
      <c r="N12" s="552" t="str">
        <f>IF(H12="","",(IFERROR(VLOOKUP($H12,【選択肢】!$K$3:$O$86,2,)," ")&amp;IF(I12="","",","&amp;IFERROR(VLOOKUP($I12,【選択肢】!$K$3:$O$86,2,)," ")&amp;IF(J12="","",","&amp;IFERROR(VLOOKUP($J12,【選択肢】!$K$3:$O$86,2,)," ")&amp;IF(K12="","",","&amp;IFERROR(VLOOKUP($K12,【選択肢】!$K$3:$O$86,2,)," ")&amp;IF(L12="","",","&amp;IFERROR(VLOOKUP($L12,【選択肢】!$K$3:$O$86,2,)," ")&amp;IF(M12="","",","&amp;IFERROR(VLOOKUP($M12,【選択肢】!$K$3:$O$86,2,)," "))))))))</f>
        <v/>
      </c>
      <c r="O12" s="552" t="str">
        <f>IF(H12="","",(IFERROR(VLOOKUP($H12,【選択肢】!$K$3:$O$86,4,)," ")&amp;IF(I12="","",","&amp;IFERROR(VLOOKUP($I12,【選択肢】!$K$3:$O$86,4,)," ")&amp;IF(J12="","",","&amp;IFERROR(VLOOKUP($J12,【選択肢】!$K$3:$O$86,4,)," ")&amp;IF(K12="","",","&amp;IFERROR(VLOOKUP($K12,【選択肢】!$K$3:$O$86,4,)," ")&amp;IF(L12="","",","&amp;IFERROR(VLOOKUP($L12,【選択肢】!$K$3:$O$86,4,)," ")&amp;IF(M12="","",","&amp;IFERROR(VLOOKUP($M12,【選択肢】!$K$3:$O$86,4,)," "))))))))</f>
        <v/>
      </c>
      <c r="P12" s="552" t="str">
        <f>IF(H12="","",(IFERROR(VLOOKUP($H12,【選択肢】!$K$3:$O$86,5,)," ")&amp;IF(I12="","",","&amp;IFERROR(VLOOKUP($I12,【選択肢】!$K$3:$O$86,5,)," ")&amp;IF(J12="","",","&amp;IFERROR(VLOOKUP($J12,【選択肢】!$K$3:$O$86,5,)," ")&amp;IF(K12="","",","&amp;IFERROR(VLOOKUP($K12,【選択肢】!$K$3:$O$86,5,)," ")&amp;IF(L12="","",","&amp;IFERROR(VLOOKUP($L12,【選択肢】!$K$3:$O$86,5,)," ")&amp;IF(M12="","",","&amp;IFERROR(VLOOKUP($M12,【選択肢】!$K$3:$O$86,5,)," "))))))))</f>
        <v/>
      </c>
      <c r="Q12" s="565"/>
      <c r="R12" s="554"/>
      <c r="S12" s="545"/>
      <c r="T12" s="545"/>
      <c r="U12" s="545"/>
      <c r="V12" s="545"/>
      <c r="W12" s="545"/>
      <c r="X12" s="545"/>
    </row>
    <row r="13" spans="1:24" x14ac:dyDescent="0.15">
      <c r="B13" s="555"/>
      <c r="C13" s="556"/>
      <c r="D13" s="557"/>
      <c r="E13" s="558"/>
      <c r="F13" s="558"/>
      <c r="G13" s="559">
        <f t="shared" ref="G13:G21" si="0">SUM(E13+F13)</f>
        <v>0</v>
      </c>
      <c r="H13" s="560"/>
      <c r="I13" s="560"/>
      <c r="J13" s="560"/>
      <c r="K13" s="560"/>
      <c r="L13" s="560"/>
      <c r="M13" s="560"/>
      <c r="N13" s="552" t="str">
        <f>IF(H13="","",(IFERROR(VLOOKUP($H13,【選択肢】!$K$3:$O$86,2,)," ")&amp;IF(I13="","",","&amp;IFERROR(VLOOKUP($I13,【選択肢】!$K$3:$O$86,2,)," ")&amp;IF(J13="","",","&amp;IFERROR(VLOOKUP($J13,【選択肢】!$K$3:$O$86,2,)," ")&amp;IF(K13="","",","&amp;IFERROR(VLOOKUP($K13,【選択肢】!$K$3:$O$86,2,)," ")&amp;IF(L13="","",","&amp;IFERROR(VLOOKUP($L13,【選択肢】!$K$3:$O$86,2,)," ")&amp;IF(M13="","",","&amp;IFERROR(VLOOKUP($M13,【選択肢】!$K$3:$O$86,2,)," "))))))))</f>
        <v/>
      </c>
      <c r="O13" s="552" t="str">
        <f>IF(H13="","",(IFERROR(VLOOKUP($H13,【選択肢】!$K$3:$O$86,4,)," ")&amp;IF(I13="","",","&amp;IFERROR(VLOOKUP($I13,【選択肢】!$K$3:$O$86,4,)," ")&amp;IF(J13="","",","&amp;IFERROR(VLOOKUP($J13,【選択肢】!$K$3:$O$86,4,)," ")&amp;IF(K13="","",","&amp;IFERROR(VLOOKUP($K13,【選択肢】!$K$3:$O$86,4,)," ")&amp;IF(L13="","",","&amp;IFERROR(VLOOKUP($L13,【選択肢】!$K$3:$O$86,4,)," ")&amp;IF(M13="","",","&amp;IFERROR(VLOOKUP($M13,【選択肢】!$K$3:$O$86,4,)," "))))))))</f>
        <v/>
      </c>
      <c r="P13" s="552" t="str">
        <f>IF(H13="","",(IFERROR(VLOOKUP($H13,【選択肢】!$K$3:$O$86,5,)," ")&amp;IF(I13="","",","&amp;IFERROR(VLOOKUP($I13,【選択肢】!$K$3:$O$86,5,)," ")&amp;IF(J13="","",","&amp;IFERROR(VLOOKUP($J13,【選択肢】!$K$3:$O$86,5,)," ")&amp;IF(K13="","",","&amp;IFERROR(VLOOKUP($K13,【選択肢】!$K$3:$O$86,5,)," ")&amp;IF(L13="","",","&amp;IFERROR(VLOOKUP($L13,【選択肢】!$K$3:$O$86,5,)," ")&amp;IF(M13="","",","&amp;IFERROR(VLOOKUP($M13,【選択肢】!$K$3:$O$86,5,)," "))))))))</f>
        <v/>
      </c>
      <c r="Q13" s="561"/>
      <c r="R13" s="554"/>
      <c r="S13" s="545"/>
      <c r="T13" s="545"/>
      <c r="U13" s="545"/>
      <c r="V13" s="545"/>
      <c r="W13" s="545"/>
      <c r="X13" s="545"/>
    </row>
    <row r="14" spans="1:24" x14ac:dyDescent="0.15">
      <c r="B14" s="555"/>
      <c r="C14" s="556"/>
      <c r="D14" s="557"/>
      <c r="E14" s="558"/>
      <c r="F14" s="558"/>
      <c r="G14" s="559">
        <f t="shared" si="0"/>
        <v>0</v>
      </c>
      <c r="H14" s="560"/>
      <c r="I14" s="560"/>
      <c r="J14" s="560"/>
      <c r="K14" s="560"/>
      <c r="L14" s="560"/>
      <c r="M14" s="560"/>
      <c r="N14" s="552" t="str">
        <f>IF(H14="","",(IFERROR(VLOOKUP($H14,【選択肢】!$K$3:$O$86,2,)," ")&amp;IF(I14="","",","&amp;IFERROR(VLOOKUP($I14,【選択肢】!$K$3:$O$86,2,)," ")&amp;IF(J14="","",","&amp;IFERROR(VLOOKUP($J14,【選択肢】!$K$3:$O$86,2,)," ")&amp;IF(K14="","",","&amp;IFERROR(VLOOKUP($K14,【選択肢】!$K$3:$O$86,2,)," ")&amp;IF(L14="","",","&amp;IFERROR(VLOOKUP($L14,【選択肢】!$K$3:$O$86,2,)," ")&amp;IF(M14="","",","&amp;IFERROR(VLOOKUP($M14,【選択肢】!$K$3:$O$86,2,)," "))))))))</f>
        <v/>
      </c>
      <c r="O14" s="552" t="str">
        <f>IF(H14="","",(IFERROR(VLOOKUP($H14,【選択肢】!$K$3:$O$86,4,)," ")&amp;IF(I14="","",","&amp;IFERROR(VLOOKUP($I14,【選択肢】!$K$3:$O$86,4,)," ")&amp;IF(J14="","",","&amp;IFERROR(VLOOKUP($J14,【選択肢】!$K$3:$O$86,4,)," ")&amp;IF(K14="","",","&amp;IFERROR(VLOOKUP($K14,【選択肢】!$K$3:$O$86,4,)," ")&amp;IF(L14="","",","&amp;IFERROR(VLOOKUP($L14,【選択肢】!$K$3:$O$86,4,)," ")&amp;IF(M14="","",","&amp;IFERROR(VLOOKUP($M14,【選択肢】!$K$3:$O$86,4,)," "))))))))</f>
        <v/>
      </c>
      <c r="P14" s="552" t="str">
        <f>IF(H14="","",(IFERROR(VLOOKUP($H14,【選択肢】!$K$3:$O$86,5,)," ")&amp;IF(I14="","",","&amp;IFERROR(VLOOKUP($I14,【選択肢】!$K$3:$O$86,5,)," ")&amp;IF(J14="","",","&amp;IFERROR(VLOOKUP($J14,【選択肢】!$K$3:$O$86,5,)," ")&amp;IF(K14="","",","&amp;IFERROR(VLOOKUP($K14,【選択肢】!$K$3:$O$86,5,)," ")&amp;IF(L14="","",","&amp;IFERROR(VLOOKUP($L14,【選択肢】!$K$3:$O$86,5,)," ")&amp;IF(M14="","",","&amp;IFERROR(VLOOKUP($M14,【選択肢】!$K$3:$O$86,5,)," "))))))))</f>
        <v/>
      </c>
      <c r="Q14" s="561"/>
      <c r="R14" s="554"/>
      <c r="S14" s="545"/>
      <c r="T14" s="545"/>
      <c r="U14" s="545"/>
      <c r="V14" s="545"/>
      <c r="W14" s="545"/>
      <c r="X14" s="545"/>
    </row>
    <row r="15" spans="1:24" x14ac:dyDescent="0.15">
      <c r="B15" s="555"/>
      <c r="C15" s="556"/>
      <c r="D15" s="557"/>
      <c r="E15" s="558"/>
      <c r="F15" s="558"/>
      <c r="G15" s="559">
        <f t="shared" si="0"/>
        <v>0</v>
      </c>
      <c r="H15" s="560"/>
      <c r="I15" s="560"/>
      <c r="J15" s="560"/>
      <c r="K15" s="560"/>
      <c r="L15" s="560"/>
      <c r="M15" s="560"/>
      <c r="N15" s="552" t="str">
        <f>IF(H15="","",(IFERROR(VLOOKUP($H15,【選択肢】!$K$3:$O$86,2,)," ")&amp;IF(I15="","",","&amp;IFERROR(VLOOKUP($I15,【選択肢】!$K$3:$O$86,2,)," ")&amp;IF(J15="","",","&amp;IFERROR(VLOOKUP($J15,【選択肢】!$K$3:$O$86,2,)," ")&amp;IF(K15="","",","&amp;IFERROR(VLOOKUP($K15,【選択肢】!$K$3:$O$86,2,)," ")&amp;IF(L15="","",","&amp;IFERROR(VLOOKUP($L15,【選択肢】!$K$3:$O$86,2,)," ")&amp;IF(M15="","",","&amp;IFERROR(VLOOKUP($M15,【選択肢】!$K$3:$O$86,2,)," "))))))))</f>
        <v/>
      </c>
      <c r="O15" s="552" t="str">
        <f>IF(H15="","",(IFERROR(VLOOKUP($H15,【選択肢】!$K$3:$O$86,4,)," ")&amp;IF(I15="","",","&amp;IFERROR(VLOOKUP($I15,【選択肢】!$K$3:$O$86,4,)," ")&amp;IF(J15="","",","&amp;IFERROR(VLOOKUP($J15,【選択肢】!$K$3:$O$86,4,)," ")&amp;IF(K15="","",","&amp;IFERROR(VLOOKUP($K15,【選択肢】!$K$3:$O$86,4,)," ")&amp;IF(L15="","",","&amp;IFERROR(VLOOKUP($L15,【選択肢】!$K$3:$O$86,4,)," ")&amp;IF(M15="","",","&amp;IFERROR(VLOOKUP($M15,【選択肢】!$K$3:$O$86,4,)," "))))))))</f>
        <v/>
      </c>
      <c r="P15" s="552" t="str">
        <f>IF(H15="","",(IFERROR(VLOOKUP($H15,【選択肢】!$K$3:$O$86,5,)," ")&amp;IF(I15="","",","&amp;IFERROR(VLOOKUP($I15,【選択肢】!$K$3:$O$86,5,)," ")&amp;IF(J15="","",","&amp;IFERROR(VLOOKUP($J15,【選択肢】!$K$3:$O$86,5,)," ")&amp;IF(K15="","",","&amp;IFERROR(VLOOKUP($K15,【選択肢】!$K$3:$O$86,5,)," ")&amp;IF(L15="","",","&amp;IFERROR(VLOOKUP($L15,【選択肢】!$K$3:$O$86,5,)," ")&amp;IF(M15="","",","&amp;IFERROR(VLOOKUP($M15,【選択肢】!$K$3:$O$86,5,)," "))))))))</f>
        <v/>
      </c>
      <c r="Q15" s="561"/>
      <c r="R15" s="554"/>
      <c r="S15" s="545"/>
      <c r="T15" s="545"/>
      <c r="U15" s="545"/>
      <c r="V15" s="545"/>
      <c r="W15" s="545"/>
      <c r="X15" s="545"/>
    </row>
    <row r="16" spans="1:24" x14ac:dyDescent="0.15">
      <c r="B16" s="555"/>
      <c r="C16" s="556"/>
      <c r="D16" s="557"/>
      <c r="E16" s="558"/>
      <c r="F16" s="558"/>
      <c r="G16" s="559">
        <f t="shared" si="0"/>
        <v>0</v>
      </c>
      <c r="H16" s="560"/>
      <c r="I16" s="560"/>
      <c r="J16" s="560"/>
      <c r="K16" s="560"/>
      <c r="L16" s="560"/>
      <c r="M16" s="560"/>
      <c r="N16" s="552" t="str">
        <f>IF(H16="","",(IFERROR(VLOOKUP($H16,【選択肢】!$K$3:$O$86,2,)," ")&amp;IF(I16="","",","&amp;IFERROR(VLOOKUP($I16,【選択肢】!$K$3:$O$86,2,)," ")&amp;IF(J16="","",","&amp;IFERROR(VLOOKUP($J16,【選択肢】!$K$3:$O$86,2,)," ")&amp;IF(K16="","",","&amp;IFERROR(VLOOKUP($K16,【選択肢】!$K$3:$O$86,2,)," ")&amp;IF(L16="","",","&amp;IFERROR(VLOOKUP($L16,【選択肢】!$K$3:$O$86,2,)," ")&amp;IF(M16="","",","&amp;IFERROR(VLOOKUP($M16,【選択肢】!$K$3:$O$86,2,)," "))))))))</f>
        <v/>
      </c>
      <c r="O16" s="552" t="str">
        <f>IF(H16="","",(IFERROR(VLOOKUP($H16,【選択肢】!$K$3:$O$86,4,)," ")&amp;IF(I16="","",","&amp;IFERROR(VLOOKUP($I16,【選択肢】!$K$3:$O$86,4,)," ")&amp;IF(J16="","",","&amp;IFERROR(VLOOKUP($J16,【選択肢】!$K$3:$O$86,4,)," ")&amp;IF(K16="","",","&amp;IFERROR(VLOOKUP($K16,【選択肢】!$K$3:$O$86,4,)," ")&amp;IF(L16="","",","&amp;IFERROR(VLOOKUP($L16,【選択肢】!$K$3:$O$86,4,)," ")&amp;IF(M16="","",","&amp;IFERROR(VLOOKUP($M16,【選択肢】!$K$3:$O$86,4,)," "))))))))</f>
        <v/>
      </c>
      <c r="P16" s="552" t="str">
        <f>IF(H16="","",(IFERROR(VLOOKUP($H16,【選択肢】!$K$3:$O$86,5,)," ")&amp;IF(I16="","",","&amp;IFERROR(VLOOKUP($I16,【選択肢】!$K$3:$O$86,5,)," ")&amp;IF(J16="","",","&amp;IFERROR(VLOOKUP($J16,【選択肢】!$K$3:$O$86,5,)," ")&amp;IF(K16="","",","&amp;IFERROR(VLOOKUP($K16,【選択肢】!$K$3:$O$86,5,)," ")&amp;IF(L16="","",","&amp;IFERROR(VLOOKUP($L16,【選択肢】!$K$3:$O$86,5,)," ")&amp;IF(M16="","",","&amp;IFERROR(VLOOKUP($M16,【選択肢】!$K$3:$O$86,5,)," "))))))))</f>
        <v/>
      </c>
      <c r="Q16" s="561"/>
      <c r="R16" s="554"/>
      <c r="S16" s="545"/>
      <c r="T16" s="545"/>
      <c r="U16" s="545"/>
      <c r="V16" s="545"/>
      <c r="W16" s="545"/>
      <c r="X16" s="545"/>
    </row>
    <row r="17" spans="2:24" x14ac:dyDescent="0.15">
      <c r="B17" s="555"/>
      <c r="C17" s="556"/>
      <c r="D17" s="557"/>
      <c r="E17" s="558"/>
      <c r="F17" s="558"/>
      <c r="G17" s="559">
        <f>SUM(E17+F17)</f>
        <v>0</v>
      </c>
      <c r="H17" s="560"/>
      <c r="I17" s="560"/>
      <c r="J17" s="560"/>
      <c r="K17" s="560"/>
      <c r="L17" s="560"/>
      <c r="M17" s="560"/>
      <c r="N17" s="552" t="str">
        <f>IF(H17="","",(IFERROR(VLOOKUP($H17,【選択肢】!$K$3:$O$86,2,)," ")&amp;IF(I17="","",","&amp;IFERROR(VLOOKUP($I17,【選択肢】!$K$3:$O$86,2,)," ")&amp;IF(J17="","",","&amp;IFERROR(VLOOKUP($J17,【選択肢】!$K$3:$O$86,2,)," ")&amp;IF(K17="","",","&amp;IFERROR(VLOOKUP($K17,【選択肢】!$K$3:$O$86,2,)," ")&amp;IF(L17="","",","&amp;IFERROR(VLOOKUP($L17,【選択肢】!$K$3:$O$86,2,)," ")&amp;IF(M17="","",","&amp;IFERROR(VLOOKUP($M17,【選択肢】!$K$3:$O$86,2,)," "))))))))</f>
        <v/>
      </c>
      <c r="O17" s="552" t="str">
        <f>IF(H17="","",(IFERROR(VLOOKUP($H17,【選択肢】!$K$3:$O$86,4,)," ")&amp;IF(I17="","",","&amp;IFERROR(VLOOKUP($I17,【選択肢】!$K$3:$O$86,4,)," ")&amp;IF(J17="","",","&amp;IFERROR(VLOOKUP($J17,【選択肢】!$K$3:$O$86,4,)," ")&amp;IF(K17="","",","&amp;IFERROR(VLOOKUP($K17,【選択肢】!$K$3:$O$86,4,)," ")&amp;IF(L17="","",","&amp;IFERROR(VLOOKUP($L17,【選択肢】!$K$3:$O$86,4,)," ")&amp;IF(M17="","",","&amp;IFERROR(VLOOKUP($M17,【選択肢】!$K$3:$O$86,4,)," "))))))))</f>
        <v/>
      </c>
      <c r="P17" s="552" t="str">
        <f>IF(H17="","",(IFERROR(VLOOKUP($H17,【選択肢】!$K$3:$O$86,5,)," ")&amp;IF(I17="","",","&amp;IFERROR(VLOOKUP($I17,【選択肢】!$K$3:$O$86,5,)," ")&amp;IF(J17="","",","&amp;IFERROR(VLOOKUP($J17,【選択肢】!$K$3:$O$86,5,)," ")&amp;IF(K17="","",","&amp;IFERROR(VLOOKUP($K17,【選択肢】!$K$3:$O$86,5,)," ")&amp;IF(L17="","",","&amp;IFERROR(VLOOKUP($L17,【選択肢】!$K$3:$O$86,5,)," ")&amp;IF(M17="","",","&amp;IFERROR(VLOOKUP($M17,【選択肢】!$K$3:$O$86,5,)," "))))))))</f>
        <v/>
      </c>
      <c r="Q17" s="561"/>
      <c r="R17" s="554"/>
      <c r="S17" s="545"/>
      <c r="T17" s="545"/>
      <c r="U17" s="545"/>
      <c r="V17" s="545"/>
      <c r="W17" s="545"/>
      <c r="X17" s="545"/>
    </row>
    <row r="18" spans="2:24" x14ac:dyDescent="0.15">
      <c r="B18" s="555"/>
      <c r="C18" s="556"/>
      <c r="D18" s="557"/>
      <c r="E18" s="558"/>
      <c r="F18" s="558"/>
      <c r="G18" s="559">
        <f t="shared" si="0"/>
        <v>0</v>
      </c>
      <c r="H18" s="560"/>
      <c r="I18" s="560"/>
      <c r="J18" s="560"/>
      <c r="K18" s="560"/>
      <c r="L18" s="560"/>
      <c r="M18" s="560"/>
      <c r="N18" s="552" t="str">
        <f>IF(H18="","",(IFERROR(VLOOKUP($H18,【選択肢】!$K$3:$O$86,2,)," ")&amp;IF(I18="","",","&amp;IFERROR(VLOOKUP($I18,【選択肢】!$K$3:$O$86,2,)," ")&amp;IF(J18="","",","&amp;IFERROR(VLOOKUP($J18,【選択肢】!$K$3:$O$86,2,)," ")&amp;IF(K18="","",","&amp;IFERROR(VLOOKUP($K18,【選択肢】!$K$3:$O$86,2,)," ")&amp;IF(L18="","",","&amp;IFERROR(VLOOKUP($L18,【選択肢】!$K$3:$O$86,2,)," ")&amp;IF(M18="","",","&amp;IFERROR(VLOOKUP($M18,【選択肢】!$K$3:$O$86,2,)," "))))))))</f>
        <v/>
      </c>
      <c r="O18" s="552" t="str">
        <f>IF(H18="","",(IFERROR(VLOOKUP($H18,【選択肢】!$K$3:$O$86,4,)," ")&amp;IF(I18="","",","&amp;IFERROR(VLOOKUP($I18,【選択肢】!$K$3:$O$86,4,)," ")&amp;IF(J18="","",","&amp;IFERROR(VLOOKUP($J18,【選択肢】!$K$3:$O$86,4,)," ")&amp;IF(K18="","",","&amp;IFERROR(VLOOKUP($K18,【選択肢】!$K$3:$O$86,4,)," ")&amp;IF(L18="","",","&amp;IFERROR(VLOOKUP($L18,【選択肢】!$K$3:$O$86,4,)," ")&amp;IF(M18="","",","&amp;IFERROR(VLOOKUP($M18,【選択肢】!$K$3:$O$86,4,)," "))))))))</f>
        <v/>
      </c>
      <c r="P18" s="552" t="str">
        <f>IF(H18="","",(IFERROR(VLOOKUP($H18,【選択肢】!$K$3:$O$86,5,)," ")&amp;IF(I18="","",","&amp;IFERROR(VLOOKUP($I18,【選択肢】!$K$3:$O$86,5,)," ")&amp;IF(J18="","",","&amp;IFERROR(VLOOKUP($J18,【選択肢】!$K$3:$O$86,5,)," ")&amp;IF(K18="","",","&amp;IFERROR(VLOOKUP($K18,【選択肢】!$K$3:$O$86,5,)," ")&amp;IF(L18="","",","&amp;IFERROR(VLOOKUP($L18,【選択肢】!$K$3:$O$86,5,)," ")&amp;IF(M18="","",","&amp;IFERROR(VLOOKUP($M18,【選択肢】!$K$3:$O$86,5,)," "))))))))</f>
        <v/>
      </c>
      <c r="Q18" s="561"/>
      <c r="R18" s="554"/>
      <c r="S18" s="545"/>
      <c r="T18" s="545"/>
      <c r="U18" s="545"/>
      <c r="V18" s="545"/>
      <c r="W18" s="545"/>
      <c r="X18" s="545"/>
    </row>
    <row r="19" spans="2:24" x14ac:dyDescent="0.15">
      <c r="B19" s="555"/>
      <c r="C19" s="556"/>
      <c r="D19" s="557"/>
      <c r="E19" s="558"/>
      <c r="F19" s="558"/>
      <c r="G19" s="559">
        <f t="shared" si="0"/>
        <v>0</v>
      </c>
      <c r="H19" s="560"/>
      <c r="I19" s="560"/>
      <c r="J19" s="560"/>
      <c r="K19" s="560"/>
      <c r="L19" s="560"/>
      <c r="M19" s="560"/>
      <c r="N19" s="552" t="str">
        <f>IF(H19="","",(IFERROR(VLOOKUP($H19,【選択肢】!$K$3:$O$86,2,)," ")&amp;IF(I19="","",","&amp;IFERROR(VLOOKUP($I19,【選択肢】!$K$3:$O$86,2,)," ")&amp;IF(J19="","",","&amp;IFERROR(VLOOKUP($J19,【選択肢】!$K$3:$O$86,2,)," ")&amp;IF(K19="","",","&amp;IFERROR(VLOOKUP($K19,【選択肢】!$K$3:$O$86,2,)," ")&amp;IF(L19="","",","&amp;IFERROR(VLOOKUP($L19,【選択肢】!$K$3:$O$86,2,)," ")&amp;IF(M19="","",","&amp;IFERROR(VLOOKUP($M19,【選択肢】!$K$3:$O$86,2,)," "))))))))</f>
        <v/>
      </c>
      <c r="O19" s="552" t="str">
        <f>IF(H19="","",(IFERROR(VLOOKUP($H19,【選択肢】!$K$3:$O$86,4,)," ")&amp;IF(I19="","",","&amp;IFERROR(VLOOKUP($I19,【選択肢】!$K$3:$O$86,4,)," ")&amp;IF(J19="","",","&amp;IFERROR(VLOOKUP($J19,【選択肢】!$K$3:$O$86,4,)," ")&amp;IF(K19="","",","&amp;IFERROR(VLOOKUP($K19,【選択肢】!$K$3:$O$86,4,)," ")&amp;IF(L19="","",","&amp;IFERROR(VLOOKUP($L19,【選択肢】!$K$3:$O$86,4,)," ")&amp;IF(M19="","",","&amp;IFERROR(VLOOKUP($M19,【選択肢】!$K$3:$O$86,4,)," "))))))))</f>
        <v/>
      </c>
      <c r="P19" s="552" t="str">
        <f>IF(H19="","",(IFERROR(VLOOKUP($H19,【選択肢】!$K$3:$O$86,5,)," ")&amp;IF(I19="","",","&amp;IFERROR(VLOOKUP($I19,【選択肢】!$K$3:$O$86,5,)," ")&amp;IF(J19="","",","&amp;IFERROR(VLOOKUP($J19,【選択肢】!$K$3:$O$86,5,)," ")&amp;IF(K19="","",","&amp;IFERROR(VLOOKUP($K19,【選択肢】!$K$3:$O$86,5,)," ")&amp;IF(L19="","",","&amp;IFERROR(VLOOKUP($L19,【選択肢】!$K$3:$O$86,5,)," ")&amp;IF(M19="","",","&amp;IFERROR(VLOOKUP($M19,【選択肢】!$K$3:$O$86,5,)," "))))))))</f>
        <v/>
      </c>
      <c r="Q19" s="561"/>
      <c r="R19" s="554"/>
      <c r="S19" s="545"/>
      <c r="T19" s="545"/>
      <c r="U19" s="545"/>
      <c r="V19" s="545"/>
      <c r="W19" s="545"/>
      <c r="X19" s="545"/>
    </row>
    <row r="20" spans="2:24" x14ac:dyDescent="0.15">
      <c r="B20" s="555"/>
      <c r="C20" s="556"/>
      <c r="D20" s="557"/>
      <c r="E20" s="558"/>
      <c r="F20" s="558"/>
      <c r="G20" s="559">
        <f t="shared" si="0"/>
        <v>0</v>
      </c>
      <c r="H20" s="560"/>
      <c r="I20" s="560"/>
      <c r="J20" s="560"/>
      <c r="K20" s="560"/>
      <c r="L20" s="560"/>
      <c r="M20" s="560"/>
      <c r="N20" s="552" t="str">
        <f>IF(H20="","",(IFERROR(VLOOKUP($H20,【選択肢】!$K$3:$O$86,2,)," ")&amp;IF(I20="","",","&amp;IFERROR(VLOOKUP($I20,【選択肢】!$K$3:$O$86,2,)," ")&amp;IF(J20="","",","&amp;IFERROR(VLOOKUP($J20,【選択肢】!$K$3:$O$86,2,)," ")&amp;IF(K20="","",","&amp;IFERROR(VLOOKUP($K20,【選択肢】!$K$3:$O$86,2,)," ")&amp;IF(L20="","",","&amp;IFERROR(VLOOKUP($L20,【選択肢】!$K$3:$O$86,2,)," ")&amp;IF(M20="","",","&amp;IFERROR(VLOOKUP($M20,【選択肢】!$K$3:$O$86,2,)," "))))))))</f>
        <v/>
      </c>
      <c r="O20" s="552" t="str">
        <f>IF(H20="","",(IFERROR(VLOOKUP($H20,【選択肢】!$K$3:$O$86,4,)," ")&amp;IF(I20="","",","&amp;IFERROR(VLOOKUP($I20,【選択肢】!$K$3:$O$86,4,)," ")&amp;IF(J20="","",","&amp;IFERROR(VLOOKUP($J20,【選択肢】!$K$3:$O$86,4,)," ")&amp;IF(K20="","",","&amp;IFERROR(VLOOKUP($K20,【選択肢】!$K$3:$O$86,4,)," ")&amp;IF(L20="","",","&amp;IFERROR(VLOOKUP($L20,【選択肢】!$K$3:$O$86,4,)," ")&amp;IF(M20="","",","&amp;IFERROR(VLOOKUP($M20,【選択肢】!$K$3:$O$86,4,)," "))))))))</f>
        <v/>
      </c>
      <c r="P20" s="552" t="str">
        <f>IF(H20="","",(IFERROR(VLOOKUP($H20,【選択肢】!$K$3:$O$86,5,)," ")&amp;IF(I20="","",","&amp;IFERROR(VLOOKUP($I20,【選択肢】!$K$3:$O$86,5,)," ")&amp;IF(J20="","",","&amp;IFERROR(VLOOKUP($J20,【選択肢】!$K$3:$O$86,5,)," ")&amp;IF(K20="","",","&amp;IFERROR(VLOOKUP($K20,【選択肢】!$K$3:$O$86,5,)," ")&amp;IF(L20="","",","&amp;IFERROR(VLOOKUP($L20,【選択肢】!$K$3:$O$86,5,)," ")&amp;IF(M20="","",","&amp;IFERROR(VLOOKUP($M20,【選択肢】!$K$3:$O$86,5,)," "))))))))</f>
        <v/>
      </c>
      <c r="Q20" s="561"/>
      <c r="R20" s="554"/>
      <c r="S20" s="545"/>
      <c r="T20" s="545"/>
      <c r="U20" s="545"/>
      <c r="V20" s="545"/>
      <c r="W20" s="545"/>
      <c r="X20" s="545"/>
    </row>
    <row r="21" spans="2:24" x14ac:dyDescent="0.15">
      <c r="B21" s="555"/>
      <c r="C21" s="556"/>
      <c r="D21" s="557"/>
      <c r="E21" s="558"/>
      <c r="F21" s="558"/>
      <c r="G21" s="559">
        <f t="shared" si="0"/>
        <v>0</v>
      </c>
      <c r="H21" s="560"/>
      <c r="I21" s="560"/>
      <c r="J21" s="560"/>
      <c r="K21" s="560"/>
      <c r="L21" s="560"/>
      <c r="M21" s="560"/>
      <c r="N21" s="552" t="str">
        <f>IF(H21="","",(IFERROR(VLOOKUP($H21,【選択肢】!$K$3:$O$86,2,)," ")&amp;IF(I21="","",","&amp;IFERROR(VLOOKUP($I21,【選択肢】!$K$3:$O$86,2,)," ")&amp;IF(J21="","",","&amp;IFERROR(VLOOKUP($J21,【選択肢】!$K$3:$O$86,2,)," ")&amp;IF(K21="","",","&amp;IFERROR(VLOOKUP($K21,【選択肢】!$K$3:$O$86,2,)," ")&amp;IF(L21="","",","&amp;IFERROR(VLOOKUP($L21,【選択肢】!$K$3:$O$86,2,)," ")&amp;IF(M21="","",","&amp;IFERROR(VLOOKUP($M21,【選択肢】!$K$3:$O$86,2,)," "))))))))</f>
        <v/>
      </c>
      <c r="O21" s="552" t="str">
        <f>IF(H21="","",(IFERROR(VLOOKUP($H21,【選択肢】!$K$3:$O$86,4,)," ")&amp;IF(I21="","",","&amp;IFERROR(VLOOKUP($I21,【選択肢】!$K$3:$O$86,4,)," ")&amp;IF(J21="","",","&amp;IFERROR(VLOOKUP($J21,【選択肢】!$K$3:$O$86,4,)," ")&amp;IF(K21="","",","&amp;IFERROR(VLOOKUP($K21,【選択肢】!$K$3:$O$86,4,)," ")&amp;IF(L21="","",","&amp;IFERROR(VLOOKUP($L21,【選択肢】!$K$3:$O$86,4,)," ")&amp;IF(M21="","",","&amp;IFERROR(VLOOKUP($M21,【選択肢】!$K$3:$O$86,4,)," "))))))))</f>
        <v/>
      </c>
      <c r="P21" s="552" t="str">
        <f>IF(H21="","",(IFERROR(VLOOKUP($H21,【選択肢】!$K$3:$O$86,5,)," ")&amp;IF(I21="","",","&amp;IFERROR(VLOOKUP($I21,【選択肢】!$K$3:$O$86,5,)," ")&amp;IF(J21="","",","&amp;IFERROR(VLOOKUP($J21,【選択肢】!$K$3:$O$86,5,)," ")&amp;IF(K21="","",","&amp;IFERROR(VLOOKUP($K21,【選択肢】!$K$3:$O$86,5,)," ")&amp;IF(L21="","",","&amp;IFERROR(VLOOKUP($L21,【選択肢】!$K$3:$O$86,5,)," ")&amp;IF(M21="","",","&amp;IFERROR(VLOOKUP($M21,【選択肢】!$K$3:$O$86,5,)," "))))))))</f>
        <v/>
      </c>
      <c r="Q21" s="561"/>
      <c r="R21" s="554"/>
      <c r="S21" s="545"/>
      <c r="T21" s="545"/>
      <c r="U21" s="545"/>
      <c r="V21" s="545"/>
      <c r="W21" s="545"/>
      <c r="X21" s="545"/>
    </row>
    <row r="22" spans="2:24" x14ac:dyDescent="0.15">
      <c r="B22" s="555"/>
      <c r="C22" s="556"/>
      <c r="D22" s="557"/>
      <c r="E22" s="558"/>
      <c r="F22" s="558"/>
      <c r="G22" s="559">
        <f>SUM(E22+F22)</f>
        <v>0</v>
      </c>
      <c r="H22" s="560"/>
      <c r="I22" s="560"/>
      <c r="J22" s="560"/>
      <c r="K22" s="560"/>
      <c r="L22" s="560"/>
      <c r="M22" s="560"/>
      <c r="N22" s="552" t="str">
        <f>IF(H22="","",(IFERROR(VLOOKUP($H22,【選択肢】!$K$3:$O$86,2,)," ")&amp;IF(I22="","",","&amp;IFERROR(VLOOKUP($I22,【選択肢】!$K$3:$O$86,2,)," ")&amp;IF(J22="","",","&amp;IFERROR(VLOOKUP($J22,【選択肢】!$K$3:$O$86,2,)," ")&amp;IF(K22="","",","&amp;IFERROR(VLOOKUP($K22,【選択肢】!$K$3:$O$86,2,)," ")&amp;IF(L22="","",","&amp;IFERROR(VLOOKUP($L22,【選択肢】!$K$3:$O$86,2,)," ")&amp;IF(M22="","",","&amp;IFERROR(VLOOKUP($M22,【選択肢】!$K$3:$O$86,2,)," "))))))))</f>
        <v/>
      </c>
      <c r="O22" s="552" t="str">
        <f>IF(H22="","",(IFERROR(VLOOKUP($H22,【選択肢】!$K$3:$O$86,4,)," ")&amp;IF(I22="","",","&amp;IFERROR(VLOOKUP($I22,【選択肢】!$K$3:$O$86,4,)," ")&amp;IF(J22="","",","&amp;IFERROR(VLOOKUP($J22,【選択肢】!$K$3:$O$86,4,)," ")&amp;IF(K22="","",","&amp;IFERROR(VLOOKUP($K22,【選択肢】!$K$3:$O$86,4,)," ")&amp;IF(L22="","",","&amp;IFERROR(VLOOKUP($L22,【選択肢】!$K$3:$O$86,4,)," ")&amp;IF(M22="","",","&amp;IFERROR(VLOOKUP($M22,【選択肢】!$K$3:$O$86,4,)," "))))))))</f>
        <v/>
      </c>
      <c r="P22" s="552" t="str">
        <f>IF(H22="","",(IFERROR(VLOOKUP($H22,【選択肢】!$K$3:$O$86,5,)," ")&amp;IF(I22="","",","&amp;IFERROR(VLOOKUP($I22,【選択肢】!$K$3:$O$86,5,)," ")&amp;IF(J22="","",","&amp;IFERROR(VLOOKUP($J22,【選択肢】!$K$3:$O$86,5,)," ")&amp;IF(K22="","",","&amp;IFERROR(VLOOKUP($K22,【選択肢】!$K$3:$O$86,5,)," ")&amp;IF(L22="","",","&amp;IFERROR(VLOOKUP($L22,【選択肢】!$K$3:$O$86,5,)," ")&amp;IF(M22="","",","&amp;IFERROR(VLOOKUP($M22,【選択肢】!$K$3:$O$86,5,)," "))))))))</f>
        <v/>
      </c>
      <c r="Q22" s="561"/>
      <c r="R22" s="554"/>
      <c r="S22" s="545"/>
      <c r="T22" s="545"/>
      <c r="U22" s="545"/>
      <c r="V22" s="545"/>
      <c r="W22" s="545"/>
      <c r="X22" s="545"/>
    </row>
    <row r="23" spans="2:24" x14ac:dyDescent="0.15">
      <c r="B23" s="566"/>
      <c r="C23" s="562"/>
      <c r="D23" s="557"/>
      <c r="E23" s="558"/>
      <c r="F23" s="563"/>
      <c r="G23" s="559">
        <f>SUM(E23+F23)</f>
        <v>0</v>
      </c>
      <c r="H23" s="564"/>
      <c r="I23" s="564"/>
      <c r="J23" s="564"/>
      <c r="K23" s="564"/>
      <c r="L23" s="564"/>
      <c r="M23" s="564"/>
      <c r="N23" s="552" t="str">
        <f>IF(H23="","",(IFERROR(VLOOKUP($H23,【選択肢】!$K$3:$O$86,2,)," ")&amp;IF(I23="","",","&amp;IFERROR(VLOOKUP($I23,【選択肢】!$K$3:$O$86,2,)," ")&amp;IF(J23="","",","&amp;IFERROR(VLOOKUP($J23,【選択肢】!$K$3:$O$86,2,)," ")&amp;IF(K23="","",","&amp;IFERROR(VLOOKUP($K23,【選択肢】!$K$3:$O$86,2,)," ")&amp;IF(L23="","",","&amp;IFERROR(VLOOKUP($L23,【選択肢】!$K$3:$O$86,2,)," ")&amp;IF(M23="","",","&amp;IFERROR(VLOOKUP($M23,【選択肢】!$K$3:$O$86,2,)," "))))))))</f>
        <v/>
      </c>
      <c r="O23" s="552" t="str">
        <f>IF(H23="","",(IFERROR(VLOOKUP($H23,【選択肢】!$K$3:$O$86,4,)," ")&amp;IF(I23="","",","&amp;IFERROR(VLOOKUP($I23,【選択肢】!$K$3:$O$86,4,)," ")&amp;IF(J23="","",","&amp;IFERROR(VLOOKUP($J23,【選択肢】!$K$3:$O$86,4,)," ")&amp;IF(K23="","",","&amp;IFERROR(VLOOKUP($K23,【選択肢】!$K$3:$O$86,4,)," ")&amp;IF(L23="","",","&amp;IFERROR(VLOOKUP($L23,【選択肢】!$K$3:$O$86,4,)," ")&amp;IF(M23="","",","&amp;IFERROR(VLOOKUP($M23,【選択肢】!$K$3:$O$86,4,)," "))))))))</f>
        <v/>
      </c>
      <c r="P23" s="552" t="str">
        <f>IF(H23="","",(IFERROR(VLOOKUP($H23,【選択肢】!$K$3:$O$86,5,)," ")&amp;IF(I23="","",","&amp;IFERROR(VLOOKUP($I23,【選択肢】!$K$3:$O$86,5,)," ")&amp;IF(J23="","",","&amp;IFERROR(VLOOKUP($J23,【選択肢】!$K$3:$O$86,5,)," ")&amp;IF(K23="","",","&amp;IFERROR(VLOOKUP($K23,【選択肢】!$K$3:$O$86,5,)," ")&amp;IF(L23="","",","&amp;IFERROR(VLOOKUP($L23,【選択肢】!$K$3:$O$86,5,)," ")&amp;IF(M23="","",","&amp;IFERROR(VLOOKUP($M23,【選択肢】!$K$3:$O$86,5,)," "))))))))</f>
        <v/>
      </c>
      <c r="Q23" s="565"/>
      <c r="R23" s="554"/>
      <c r="S23" s="545"/>
      <c r="T23" s="545"/>
      <c r="U23" s="545"/>
      <c r="V23" s="545"/>
      <c r="W23" s="545"/>
      <c r="X23" s="545"/>
    </row>
    <row r="24" spans="2:24" ht="26.25" customHeight="1" x14ac:dyDescent="0.15">
      <c r="B24" s="567"/>
      <c r="C24" s="568"/>
      <c r="D24" s="569"/>
      <c r="E24" s="570"/>
      <c r="F24" s="571" t="s">
        <v>1395</v>
      </c>
      <c r="G24" s="572"/>
      <c r="H24" s="573"/>
      <c r="I24" s="573"/>
      <c r="J24" s="573"/>
      <c r="K24" s="573"/>
      <c r="L24" s="573"/>
      <c r="M24" s="573"/>
      <c r="N24" s="574"/>
      <c r="O24" s="574"/>
      <c r="P24" s="574"/>
      <c r="Q24" s="575"/>
      <c r="R24" s="554"/>
      <c r="S24" s="545"/>
      <c r="T24" s="545"/>
      <c r="U24" s="545"/>
      <c r="V24" s="545"/>
      <c r="W24" s="545"/>
      <c r="X24" s="545"/>
    </row>
    <row r="25" spans="2:24" ht="18" customHeight="1" x14ac:dyDescent="0.15">
      <c r="B25" s="576"/>
      <c r="C25" s="577"/>
      <c r="D25" s="578"/>
      <c r="E25" s="579"/>
      <c r="F25" s="579"/>
      <c r="G25" s="580"/>
      <c r="H25" s="581"/>
      <c r="I25" s="581"/>
      <c r="J25" s="581"/>
      <c r="K25" s="581"/>
      <c r="L25" s="581"/>
      <c r="M25" s="581"/>
      <c r="N25" s="582"/>
      <c r="O25" s="583"/>
      <c r="P25" s="584"/>
      <c r="Q25" s="585"/>
    </row>
    <row r="26" spans="2:24" ht="34.5" customHeight="1" x14ac:dyDescent="0.15">
      <c r="B26" s="576"/>
      <c r="C26" s="577"/>
      <c r="D26" s="578"/>
      <c r="E26" s="586" t="s">
        <v>1388</v>
      </c>
      <c r="F26" s="587" t="s">
        <v>1396</v>
      </c>
      <c r="G26" s="588" t="s">
        <v>1206</v>
      </c>
      <c r="H26" s="581"/>
      <c r="I26" s="581"/>
      <c r="J26" s="581"/>
      <c r="K26" s="581"/>
      <c r="L26" s="581"/>
      <c r="M26" s="581"/>
      <c r="N26" s="582"/>
      <c r="O26" s="583"/>
      <c r="P26" s="584"/>
      <c r="Q26" s="585"/>
    </row>
    <row r="27" spans="2:24" ht="33" customHeight="1" x14ac:dyDescent="0.15">
      <c r="B27" s="2162" t="s">
        <v>1397</v>
      </c>
      <c r="C27" s="2162"/>
      <c r="D27" s="2162"/>
      <c r="E27" s="589">
        <f>MAX(E9:E24)</f>
        <v>0</v>
      </c>
      <c r="F27" s="589">
        <f>MAX(F9:F24)</f>
        <v>0</v>
      </c>
      <c r="G27" s="590">
        <f>SUM(E27+F27)</f>
        <v>0</v>
      </c>
      <c r="H27" s="581"/>
      <c r="I27" s="581"/>
      <c r="J27" s="581"/>
      <c r="K27" s="581"/>
      <c r="L27" s="581"/>
      <c r="M27" s="581"/>
      <c r="N27" s="582"/>
      <c r="O27" s="583"/>
      <c r="P27" s="584"/>
      <c r="Q27" s="585"/>
    </row>
    <row r="28" spans="2:24" ht="33" customHeight="1" x14ac:dyDescent="0.15">
      <c r="B28" s="576"/>
      <c r="C28" s="577"/>
      <c r="D28" s="578"/>
      <c r="E28" s="579"/>
      <c r="F28" s="579"/>
      <c r="G28" s="580"/>
      <c r="H28" s="581"/>
      <c r="I28" s="581"/>
      <c r="J28" s="581"/>
      <c r="K28" s="581"/>
      <c r="L28" s="581"/>
      <c r="M28" s="581"/>
      <c r="N28" s="582"/>
      <c r="O28" s="583"/>
      <c r="P28" s="584"/>
      <c r="Q28" s="585"/>
    </row>
    <row r="29" spans="2:24" ht="18" customHeight="1" x14ac:dyDescent="0.15">
      <c r="B29" s="2153"/>
      <c r="C29" s="2154"/>
      <c r="D29" s="2155"/>
      <c r="E29" s="591"/>
      <c r="F29" s="591"/>
      <c r="G29" s="591"/>
      <c r="H29" s="591"/>
      <c r="I29" s="591"/>
      <c r="J29" s="591"/>
      <c r="K29" s="591"/>
      <c r="L29" s="591"/>
      <c r="M29" s="591"/>
      <c r="N29" s="592"/>
      <c r="O29" s="585"/>
      <c r="P29" s="2156"/>
      <c r="Q29" s="2157"/>
    </row>
    <row r="30" spans="2:24" ht="18" customHeight="1" x14ac:dyDescent="0.15">
      <c r="B30" s="2153"/>
      <c r="C30" s="2154"/>
      <c r="D30" s="2155"/>
      <c r="E30" s="591"/>
      <c r="F30" s="591"/>
      <c r="G30" s="591"/>
      <c r="H30" s="591"/>
      <c r="I30" s="591"/>
      <c r="J30" s="591"/>
      <c r="K30" s="591"/>
      <c r="L30" s="591"/>
      <c r="M30" s="591"/>
      <c r="N30" s="592"/>
      <c r="P30" s="2156"/>
      <c r="Q30" s="2157"/>
    </row>
    <row r="31" spans="2:24" ht="18" customHeight="1" x14ac:dyDescent="0.15">
      <c r="B31" s="2153"/>
      <c r="C31" s="2154"/>
      <c r="D31" s="2155"/>
      <c r="E31" s="591"/>
      <c r="F31" s="591"/>
      <c r="G31" s="591"/>
      <c r="H31" s="591"/>
      <c r="I31" s="591"/>
      <c r="J31" s="591"/>
      <c r="K31" s="591"/>
      <c r="L31" s="591"/>
      <c r="M31" s="591"/>
      <c r="N31" s="592"/>
      <c r="O31" s="585"/>
      <c r="P31" s="2156"/>
      <c r="Q31" s="2157"/>
    </row>
    <row r="32" spans="2:24" ht="18" customHeight="1" x14ac:dyDescent="0.15">
      <c r="B32" s="2153"/>
      <c r="C32" s="2154"/>
      <c r="D32" s="2155"/>
      <c r="E32" s="591"/>
      <c r="F32" s="591"/>
      <c r="G32" s="591"/>
      <c r="H32" s="591"/>
      <c r="I32" s="591"/>
      <c r="J32" s="591"/>
      <c r="K32" s="591"/>
      <c r="L32" s="591"/>
      <c r="M32" s="591"/>
      <c r="N32" s="592"/>
      <c r="O32" s="585"/>
      <c r="P32" s="2156"/>
      <c r="Q32" s="2157"/>
    </row>
    <row r="33" spans="2:17" ht="18" customHeight="1" x14ac:dyDescent="0.15">
      <c r="B33" s="2153"/>
      <c r="C33" s="2154"/>
      <c r="D33" s="2155"/>
      <c r="E33" s="591"/>
      <c r="F33" s="591"/>
      <c r="G33" s="591"/>
      <c r="H33" s="591"/>
      <c r="I33" s="591"/>
      <c r="J33" s="591"/>
      <c r="K33" s="591"/>
      <c r="L33" s="591"/>
      <c r="M33" s="591"/>
      <c r="N33" s="592"/>
      <c r="P33" s="2156"/>
      <c r="Q33" s="2157"/>
    </row>
    <row r="34" spans="2:17" ht="18" customHeight="1" x14ac:dyDescent="0.15">
      <c r="B34" s="2153"/>
      <c r="C34" s="2154"/>
      <c r="D34" s="2155"/>
      <c r="E34" s="591"/>
      <c r="F34" s="591"/>
      <c r="G34" s="591"/>
      <c r="H34" s="591"/>
      <c r="I34" s="591"/>
      <c r="J34" s="591"/>
      <c r="K34" s="591"/>
      <c r="L34" s="591"/>
      <c r="M34" s="591"/>
      <c r="N34" s="592"/>
      <c r="O34" s="585"/>
      <c r="P34" s="2156"/>
      <c r="Q34" s="2157"/>
    </row>
    <row r="35" spans="2:17" ht="18" customHeight="1" x14ac:dyDescent="0.15">
      <c r="B35" s="2153"/>
      <c r="C35" s="2154"/>
      <c r="D35" s="2155"/>
      <c r="E35" s="591"/>
      <c r="F35" s="591"/>
      <c r="G35" s="591"/>
      <c r="H35" s="591"/>
      <c r="I35" s="591"/>
      <c r="J35" s="591"/>
      <c r="K35" s="591"/>
      <c r="L35" s="591"/>
      <c r="M35" s="591"/>
      <c r="N35" s="592"/>
      <c r="O35" s="585"/>
      <c r="P35" s="2156"/>
      <c r="Q35" s="2157"/>
    </row>
    <row r="36" spans="2:17" ht="18" customHeight="1" x14ac:dyDescent="0.15">
      <c r="B36" s="2153"/>
      <c r="C36" s="2154"/>
      <c r="D36" s="2155"/>
      <c r="E36" s="591"/>
      <c r="F36" s="591"/>
      <c r="G36" s="591"/>
      <c r="H36" s="591"/>
      <c r="I36" s="591"/>
      <c r="J36" s="591"/>
      <c r="K36" s="591"/>
      <c r="L36" s="591"/>
      <c r="M36" s="591"/>
      <c r="N36" s="591"/>
      <c r="P36" s="2156"/>
      <c r="Q36" s="2157"/>
    </row>
    <row r="37" spans="2:17" ht="18" customHeight="1" x14ac:dyDescent="0.15">
      <c r="B37" s="2153"/>
      <c r="C37" s="2154"/>
      <c r="D37" s="2155"/>
      <c r="E37" s="591"/>
      <c r="F37" s="591"/>
      <c r="G37" s="591"/>
      <c r="H37" s="591"/>
      <c r="I37" s="591"/>
      <c r="J37" s="591"/>
      <c r="K37" s="591"/>
      <c r="L37" s="591"/>
      <c r="M37" s="591"/>
      <c r="N37" s="592"/>
      <c r="O37" s="585"/>
      <c r="P37" s="2156"/>
      <c r="Q37" s="2157"/>
    </row>
    <row r="38" spans="2:17" ht="18" customHeight="1" x14ac:dyDescent="0.15">
      <c r="B38" s="2153"/>
      <c r="C38" s="2154"/>
      <c r="D38" s="2155"/>
      <c r="E38" s="591"/>
      <c r="F38" s="591"/>
      <c r="G38" s="591"/>
      <c r="H38" s="591"/>
      <c r="I38" s="591"/>
      <c r="J38" s="591"/>
      <c r="K38" s="591"/>
      <c r="L38" s="591"/>
      <c r="M38" s="591"/>
      <c r="N38" s="592"/>
      <c r="O38" s="585"/>
      <c r="P38" s="2156"/>
      <c r="Q38" s="2157"/>
    </row>
    <row r="39" spans="2:17" ht="18" customHeight="1" x14ac:dyDescent="0.15">
      <c r="B39" s="2153"/>
      <c r="C39" s="2154"/>
      <c r="D39" s="2155"/>
      <c r="E39" s="591"/>
      <c r="F39" s="591"/>
      <c r="G39" s="591"/>
      <c r="H39" s="591"/>
      <c r="I39" s="591"/>
      <c r="J39" s="591"/>
      <c r="K39" s="591"/>
      <c r="L39" s="591"/>
      <c r="M39" s="591"/>
      <c r="N39" s="592"/>
      <c r="P39" s="2156"/>
      <c r="Q39" s="2157"/>
    </row>
    <row r="40" spans="2:17" ht="18" customHeight="1" x14ac:dyDescent="0.15">
      <c r="B40" s="2153"/>
      <c r="C40" s="2154"/>
      <c r="D40" s="2155"/>
      <c r="E40" s="591"/>
      <c r="F40" s="591"/>
      <c r="G40" s="591"/>
      <c r="H40" s="591"/>
      <c r="I40" s="591"/>
      <c r="J40" s="591"/>
      <c r="K40" s="591"/>
      <c r="L40" s="591"/>
      <c r="M40" s="591"/>
      <c r="N40" s="592"/>
      <c r="O40" s="585"/>
      <c r="P40" s="2156"/>
      <c r="Q40" s="2157"/>
    </row>
    <row r="41" spans="2:17" ht="18" customHeight="1" x14ac:dyDescent="0.15">
      <c r="B41" s="2153"/>
      <c r="C41" s="2154"/>
      <c r="D41" s="2155"/>
      <c r="E41" s="591"/>
      <c r="F41" s="591"/>
      <c r="G41" s="591"/>
      <c r="H41" s="591"/>
      <c r="I41" s="591"/>
      <c r="J41" s="591"/>
      <c r="K41" s="591"/>
      <c r="L41" s="591"/>
      <c r="M41" s="591"/>
      <c r="N41" s="592"/>
      <c r="O41" s="585"/>
      <c r="P41" s="2156"/>
      <c r="Q41" s="2157"/>
    </row>
    <row r="42" spans="2:17" ht="18" customHeight="1" x14ac:dyDescent="0.15">
      <c r="B42" s="2153"/>
      <c r="C42" s="2154"/>
      <c r="D42" s="2155"/>
      <c r="E42" s="591"/>
      <c r="F42" s="591"/>
      <c r="G42" s="591"/>
      <c r="H42" s="591"/>
      <c r="I42" s="591"/>
      <c r="J42" s="591"/>
      <c r="K42" s="591"/>
      <c r="L42" s="591"/>
      <c r="M42" s="591"/>
      <c r="N42" s="592"/>
      <c r="P42" s="2156"/>
      <c r="Q42" s="2157"/>
    </row>
    <row r="43" spans="2:17" ht="18" customHeight="1" x14ac:dyDescent="0.15">
      <c r="B43" s="2153"/>
      <c r="C43" s="2154"/>
      <c r="D43" s="2155"/>
      <c r="E43" s="591"/>
      <c r="F43" s="591"/>
      <c r="G43" s="591"/>
      <c r="H43" s="591"/>
      <c r="I43" s="591"/>
      <c r="J43" s="591"/>
      <c r="K43" s="591"/>
      <c r="L43" s="591"/>
      <c r="M43" s="591"/>
      <c r="N43" s="592"/>
      <c r="O43" s="585"/>
      <c r="P43" s="2156"/>
      <c r="Q43" s="2157"/>
    </row>
    <row r="44" spans="2:17" ht="18" customHeight="1" x14ac:dyDescent="0.15">
      <c r="B44" s="2153"/>
      <c r="C44" s="2154"/>
      <c r="D44" s="2155"/>
      <c r="E44" s="591"/>
      <c r="F44" s="591"/>
      <c r="G44" s="591"/>
      <c r="H44" s="591"/>
      <c r="I44" s="591"/>
      <c r="J44" s="591"/>
      <c r="K44" s="591"/>
      <c r="L44" s="591"/>
      <c r="M44" s="591"/>
      <c r="N44" s="592"/>
      <c r="O44" s="585"/>
      <c r="P44" s="2156"/>
      <c r="Q44" s="2157"/>
    </row>
    <row r="45" spans="2:17" ht="18" customHeight="1" x14ac:dyDescent="0.15">
      <c r="B45" s="2153"/>
      <c r="C45" s="2154"/>
      <c r="D45" s="2155"/>
      <c r="E45" s="591"/>
      <c r="F45" s="591"/>
      <c r="G45" s="591"/>
      <c r="H45" s="591"/>
      <c r="I45" s="591"/>
      <c r="J45" s="591"/>
      <c r="K45" s="591"/>
      <c r="L45" s="591"/>
      <c r="M45" s="591"/>
      <c r="N45" s="592"/>
      <c r="P45" s="2156"/>
      <c r="Q45" s="2157"/>
    </row>
    <row r="46" spans="2:17" ht="18" customHeight="1" x14ac:dyDescent="0.15">
      <c r="B46" s="2153"/>
      <c r="C46" s="2154"/>
      <c r="D46" s="2155"/>
      <c r="E46" s="591"/>
      <c r="F46" s="591"/>
      <c r="G46" s="591"/>
      <c r="H46" s="591"/>
      <c r="I46" s="591"/>
      <c r="J46" s="591"/>
      <c r="K46" s="591"/>
      <c r="L46" s="591"/>
      <c r="M46" s="591"/>
      <c r="N46" s="592"/>
      <c r="O46" s="585"/>
      <c r="P46" s="2156"/>
      <c r="Q46" s="2157"/>
    </row>
    <row r="47" spans="2:17" ht="18" customHeight="1" x14ac:dyDescent="0.15">
      <c r="B47" s="2153"/>
      <c r="C47" s="2154"/>
      <c r="D47" s="2155"/>
      <c r="E47" s="591"/>
      <c r="F47" s="591"/>
      <c r="G47" s="591"/>
      <c r="H47" s="591"/>
      <c r="I47" s="591"/>
      <c r="J47" s="591"/>
      <c r="K47" s="591"/>
      <c r="L47" s="591"/>
      <c r="M47" s="591"/>
      <c r="N47" s="592"/>
      <c r="O47" s="585"/>
      <c r="P47" s="2156"/>
      <c r="Q47" s="2157"/>
    </row>
    <row r="48" spans="2:17" ht="18" customHeight="1" x14ac:dyDescent="0.15">
      <c r="B48" s="2153"/>
      <c r="C48" s="2154"/>
      <c r="D48" s="2155"/>
      <c r="E48" s="591"/>
      <c r="F48" s="591"/>
      <c r="G48" s="591"/>
      <c r="H48" s="591"/>
      <c r="I48" s="591"/>
      <c r="J48" s="591"/>
      <c r="K48" s="591"/>
      <c r="L48" s="591"/>
      <c r="M48" s="591"/>
      <c r="N48" s="592"/>
      <c r="P48" s="2156"/>
      <c r="Q48" s="2157"/>
    </row>
    <row r="49" spans="2:17" ht="18" customHeight="1" x14ac:dyDescent="0.15">
      <c r="B49" s="2153"/>
      <c r="C49" s="2154"/>
      <c r="D49" s="2155"/>
      <c r="E49" s="591"/>
      <c r="F49" s="591"/>
      <c r="G49" s="591"/>
      <c r="H49" s="591"/>
      <c r="I49" s="591"/>
      <c r="J49" s="591"/>
      <c r="K49" s="591"/>
      <c r="L49" s="591"/>
      <c r="M49" s="591"/>
      <c r="N49" s="592"/>
      <c r="O49" s="585"/>
      <c r="P49" s="2156"/>
      <c r="Q49" s="2157"/>
    </row>
    <row r="50" spans="2:17" ht="18" customHeight="1" x14ac:dyDescent="0.15">
      <c r="B50" s="2153"/>
      <c r="C50" s="2154"/>
      <c r="D50" s="2155"/>
      <c r="E50" s="591"/>
      <c r="F50" s="591"/>
      <c r="G50" s="591"/>
      <c r="H50" s="591"/>
      <c r="I50" s="591"/>
      <c r="J50" s="591"/>
      <c r="K50" s="591"/>
      <c r="L50" s="591"/>
      <c r="M50" s="591"/>
      <c r="N50" s="592"/>
      <c r="O50" s="585"/>
      <c r="P50" s="2156"/>
      <c r="Q50" s="2157"/>
    </row>
    <row r="51" spans="2:17" ht="18" customHeight="1" x14ac:dyDescent="0.15">
      <c r="B51" s="2153"/>
      <c r="C51" s="2154"/>
      <c r="D51" s="2155"/>
      <c r="E51" s="591"/>
      <c r="F51" s="591"/>
      <c r="G51" s="591"/>
      <c r="H51" s="591"/>
      <c r="I51" s="591"/>
      <c r="J51" s="591"/>
      <c r="K51" s="591"/>
      <c r="L51" s="591"/>
      <c r="M51" s="591"/>
      <c r="N51" s="592"/>
      <c r="P51" s="2156"/>
      <c r="Q51" s="2157"/>
    </row>
    <row r="52" spans="2:17" ht="18" customHeight="1" x14ac:dyDescent="0.15">
      <c r="B52" s="2153"/>
      <c r="C52" s="2154"/>
      <c r="D52" s="2155"/>
      <c r="E52" s="591"/>
      <c r="F52" s="591"/>
      <c r="G52" s="591"/>
      <c r="H52" s="591"/>
      <c r="I52" s="591"/>
      <c r="J52" s="591"/>
      <c r="K52" s="591"/>
      <c r="L52" s="591"/>
      <c r="M52" s="591"/>
      <c r="N52" s="592"/>
      <c r="O52" s="585"/>
      <c r="P52" s="2156"/>
      <c r="Q52" s="2157"/>
    </row>
    <row r="53" spans="2:17" ht="18" customHeight="1" x14ac:dyDescent="0.15">
      <c r="B53" s="2153"/>
      <c r="C53" s="2154"/>
      <c r="D53" s="2155"/>
      <c r="E53" s="591"/>
      <c r="F53" s="591"/>
      <c r="G53" s="591"/>
      <c r="H53" s="591"/>
      <c r="I53" s="591"/>
      <c r="J53" s="591"/>
      <c r="K53" s="591"/>
      <c r="L53" s="591"/>
      <c r="M53" s="591"/>
      <c r="N53" s="592"/>
      <c r="O53" s="585"/>
      <c r="P53" s="2156"/>
      <c r="Q53" s="2157"/>
    </row>
    <row r="54" spans="2:17" ht="18" customHeight="1" x14ac:dyDescent="0.15">
      <c r="B54" s="2153"/>
      <c r="C54" s="2154"/>
      <c r="D54" s="2155"/>
      <c r="E54" s="591"/>
      <c r="F54" s="591"/>
      <c r="G54" s="591"/>
      <c r="H54" s="591"/>
      <c r="I54" s="591"/>
      <c r="J54" s="591"/>
      <c r="K54" s="591"/>
      <c r="L54" s="591"/>
      <c r="M54" s="591"/>
      <c r="N54" s="592"/>
      <c r="P54" s="2156"/>
      <c r="Q54" s="2157"/>
    </row>
    <row r="55" spans="2:17" ht="18" customHeight="1" x14ac:dyDescent="0.15">
      <c r="B55" s="2153"/>
      <c r="C55" s="2154"/>
      <c r="D55" s="2155"/>
      <c r="E55" s="591"/>
      <c r="F55" s="591"/>
      <c r="G55" s="591"/>
      <c r="H55" s="591"/>
      <c r="I55" s="591"/>
      <c r="J55" s="591"/>
      <c r="K55" s="591"/>
      <c r="L55" s="591"/>
      <c r="M55" s="591"/>
      <c r="N55" s="592"/>
      <c r="O55" s="585"/>
      <c r="P55" s="2156"/>
      <c r="Q55" s="2157"/>
    </row>
    <row r="56" spans="2:17" ht="18" customHeight="1" x14ac:dyDescent="0.15">
      <c r="B56" s="2153"/>
      <c r="C56" s="2154"/>
      <c r="D56" s="2155"/>
      <c r="E56" s="591"/>
      <c r="F56" s="591"/>
      <c r="G56" s="591"/>
      <c r="H56" s="591"/>
      <c r="I56" s="591"/>
      <c r="J56" s="591"/>
      <c r="K56" s="591"/>
      <c r="L56" s="591"/>
      <c r="M56" s="591"/>
      <c r="N56" s="592"/>
      <c r="O56" s="585"/>
      <c r="P56" s="2156"/>
      <c r="Q56" s="2157"/>
    </row>
    <row r="57" spans="2:17" ht="18" customHeight="1" x14ac:dyDescent="0.15">
      <c r="B57" s="2153"/>
      <c r="C57" s="2154"/>
      <c r="D57" s="2155"/>
      <c r="E57" s="591"/>
      <c r="F57" s="591"/>
      <c r="G57" s="591"/>
      <c r="H57" s="591"/>
      <c r="I57" s="591"/>
      <c r="J57" s="591"/>
      <c r="K57" s="591"/>
      <c r="L57" s="591"/>
      <c r="M57" s="591"/>
      <c r="N57" s="592"/>
      <c r="P57" s="2156"/>
      <c r="Q57" s="2157"/>
    </row>
    <row r="58" spans="2:17" ht="18" customHeight="1" x14ac:dyDescent="0.15">
      <c r="B58" s="2153"/>
      <c r="C58" s="2154"/>
      <c r="D58" s="2155"/>
      <c r="E58" s="591"/>
      <c r="F58" s="591"/>
      <c r="G58" s="591"/>
      <c r="H58" s="591"/>
      <c r="I58" s="591"/>
      <c r="J58" s="591"/>
      <c r="K58" s="591"/>
      <c r="L58" s="591"/>
      <c r="M58" s="591"/>
      <c r="N58" s="592"/>
      <c r="O58" s="585"/>
      <c r="P58" s="2156"/>
      <c r="Q58" s="2157"/>
    </row>
    <row r="59" spans="2:17" ht="18" customHeight="1" x14ac:dyDescent="0.15">
      <c r="B59" s="2153"/>
      <c r="C59" s="2154"/>
      <c r="D59" s="2155"/>
      <c r="E59" s="591"/>
      <c r="F59" s="591"/>
      <c r="G59" s="591"/>
      <c r="H59" s="591"/>
      <c r="I59" s="591"/>
      <c r="J59" s="591"/>
      <c r="K59" s="591"/>
      <c r="L59" s="591"/>
      <c r="M59" s="591"/>
      <c r="N59" s="592"/>
      <c r="O59" s="585"/>
      <c r="P59" s="2156"/>
      <c r="Q59" s="2157"/>
    </row>
    <row r="60" spans="2:17" ht="18" customHeight="1" x14ac:dyDescent="0.15">
      <c r="B60" s="2153"/>
      <c r="C60" s="2154"/>
      <c r="D60" s="2155"/>
      <c r="E60" s="591"/>
      <c r="F60" s="591"/>
      <c r="G60" s="591"/>
      <c r="H60" s="591"/>
      <c r="I60" s="591"/>
      <c r="J60" s="591"/>
      <c r="K60" s="591"/>
      <c r="L60" s="591"/>
      <c r="M60" s="591"/>
      <c r="N60" s="592"/>
      <c r="P60" s="2156"/>
      <c r="Q60" s="2157"/>
    </row>
    <row r="61" spans="2:17" ht="18" customHeight="1" x14ac:dyDescent="0.15">
      <c r="B61" s="2153"/>
      <c r="C61" s="2154"/>
      <c r="D61" s="2155"/>
      <c r="E61" s="591"/>
      <c r="F61" s="591"/>
      <c r="G61" s="591"/>
      <c r="H61" s="591"/>
      <c r="I61" s="591"/>
      <c r="J61" s="591"/>
      <c r="K61" s="591"/>
      <c r="L61" s="591"/>
      <c r="M61" s="591"/>
      <c r="N61" s="592"/>
      <c r="O61" s="585"/>
      <c r="P61" s="2156"/>
      <c r="Q61" s="2157"/>
    </row>
    <row r="62" spans="2:17" ht="18" customHeight="1" x14ac:dyDescent="0.15">
      <c r="B62" s="2153"/>
      <c r="C62" s="2154"/>
      <c r="D62" s="2155"/>
      <c r="E62" s="591"/>
      <c r="F62" s="591"/>
      <c r="G62" s="591"/>
      <c r="H62" s="591"/>
      <c r="I62" s="591"/>
      <c r="J62" s="591"/>
      <c r="K62" s="591"/>
      <c r="L62" s="591"/>
      <c r="M62" s="591"/>
      <c r="N62" s="592"/>
      <c r="O62" s="585"/>
      <c r="P62" s="2156"/>
      <c r="Q62" s="2157"/>
    </row>
    <row r="63" spans="2:17" ht="18" customHeight="1" x14ac:dyDescent="0.15">
      <c r="B63" s="2153"/>
      <c r="C63" s="2154"/>
      <c r="D63" s="2155"/>
      <c r="E63" s="591"/>
      <c r="F63" s="591"/>
      <c r="G63" s="591"/>
      <c r="H63" s="591"/>
      <c r="I63" s="591"/>
      <c r="J63" s="591"/>
      <c r="K63" s="591"/>
      <c r="L63" s="591"/>
      <c r="M63" s="591"/>
      <c r="N63" s="592"/>
      <c r="P63" s="2156"/>
      <c r="Q63" s="2157"/>
    </row>
    <row r="64" spans="2:17" ht="18" customHeight="1" x14ac:dyDescent="0.15">
      <c r="B64" s="2153"/>
      <c r="C64" s="2154"/>
      <c r="D64" s="2155"/>
      <c r="E64" s="591"/>
      <c r="F64" s="591"/>
      <c r="G64" s="591"/>
      <c r="H64" s="591"/>
      <c r="I64" s="591"/>
      <c r="J64" s="591"/>
      <c r="K64" s="591"/>
      <c r="L64" s="591"/>
      <c r="M64" s="591"/>
      <c r="N64" s="592"/>
      <c r="O64" s="585"/>
      <c r="P64" s="2156"/>
      <c r="Q64" s="2157"/>
    </row>
    <row r="65" spans="2:17" ht="18" customHeight="1" x14ac:dyDescent="0.15">
      <c r="B65" s="2153"/>
      <c r="C65" s="2154"/>
      <c r="D65" s="2155"/>
      <c r="E65" s="591"/>
      <c r="F65" s="591"/>
      <c r="G65" s="591"/>
      <c r="H65" s="591"/>
      <c r="I65" s="591"/>
      <c r="J65" s="591"/>
      <c r="K65" s="591"/>
      <c r="L65" s="591"/>
      <c r="M65" s="591"/>
      <c r="N65" s="592"/>
      <c r="O65" s="585"/>
      <c r="P65" s="2156"/>
      <c r="Q65" s="2157"/>
    </row>
    <row r="66" spans="2:17" ht="18" customHeight="1" x14ac:dyDescent="0.15">
      <c r="B66" s="2153"/>
      <c r="C66" s="2154"/>
      <c r="D66" s="2155"/>
      <c r="E66" s="591"/>
      <c r="F66" s="591"/>
      <c r="G66" s="591"/>
      <c r="H66" s="591"/>
      <c r="I66" s="591"/>
      <c r="J66" s="591"/>
      <c r="K66" s="591"/>
      <c r="L66" s="591"/>
      <c r="M66" s="591"/>
      <c r="N66" s="592"/>
      <c r="P66" s="2156"/>
      <c r="Q66" s="2157"/>
    </row>
    <row r="67" spans="2:17" ht="18" customHeight="1" x14ac:dyDescent="0.15">
      <c r="B67" s="2153"/>
      <c r="C67" s="2154"/>
      <c r="D67" s="2155"/>
      <c r="E67" s="591"/>
      <c r="F67" s="591"/>
      <c r="G67" s="591"/>
      <c r="H67" s="591"/>
      <c r="I67" s="591"/>
      <c r="J67" s="591"/>
      <c r="K67" s="591"/>
      <c r="L67" s="591"/>
      <c r="M67" s="591"/>
      <c r="N67" s="592"/>
      <c r="O67" s="585"/>
      <c r="P67" s="2156"/>
      <c r="Q67" s="2157"/>
    </row>
  </sheetData>
  <sheetProtection insertRows="0" deleteRows="0" autoFilter="0"/>
  <mergeCells count="81">
    <mergeCell ref="B5:Q5"/>
    <mergeCell ref="B6:D6"/>
    <mergeCell ref="E6:G6"/>
    <mergeCell ref="H6:M8"/>
    <mergeCell ref="N6:P6"/>
    <mergeCell ref="Q6:Q8"/>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35:B37"/>
    <mergeCell ref="C35:C37"/>
    <mergeCell ref="D35:D37"/>
    <mergeCell ref="P35:P37"/>
    <mergeCell ref="Q35:Q37"/>
    <mergeCell ref="B32:B34"/>
    <mergeCell ref="C32:C34"/>
    <mergeCell ref="D32:D34"/>
    <mergeCell ref="P32:P34"/>
    <mergeCell ref="Q32:Q34"/>
    <mergeCell ref="B41:B43"/>
    <mergeCell ref="C41:C43"/>
    <mergeCell ref="D41:D43"/>
    <mergeCell ref="P41:P43"/>
    <mergeCell ref="Q41:Q43"/>
    <mergeCell ref="B38:B40"/>
    <mergeCell ref="C38:C40"/>
    <mergeCell ref="D38:D40"/>
    <mergeCell ref="P38:P40"/>
    <mergeCell ref="Q38:Q40"/>
    <mergeCell ref="B47:B49"/>
    <mergeCell ref="C47:C49"/>
    <mergeCell ref="D47:D49"/>
    <mergeCell ref="P47:P49"/>
    <mergeCell ref="Q47:Q49"/>
    <mergeCell ref="B44:B46"/>
    <mergeCell ref="C44:C46"/>
    <mergeCell ref="D44:D46"/>
    <mergeCell ref="P44:P46"/>
    <mergeCell ref="Q44:Q46"/>
    <mergeCell ref="B53:B55"/>
    <mergeCell ref="C53:C55"/>
    <mergeCell ref="D53:D55"/>
    <mergeCell ref="P53:P55"/>
    <mergeCell ref="Q53:Q55"/>
    <mergeCell ref="B50:B52"/>
    <mergeCell ref="C50:C52"/>
    <mergeCell ref="D50:D52"/>
    <mergeCell ref="P50:P52"/>
    <mergeCell ref="Q50:Q52"/>
    <mergeCell ref="B59:B61"/>
    <mergeCell ref="C59:C61"/>
    <mergeCell ref="D59:D61"/>
    <mergeCell ref="P59:P61"/>
    <mergeCell ref="Q59:Q61"/>
    <mergeCell ref="B56:B58"/>
    <mergeCell ref="C56:C58"/>
    <mergeCell ref="D56:D58"/>
    <mergeCell ref="P56:P58"/>
    <mergeCell ref="Q56:Q58"/>
    <mergeCell ref="B65:B67"/>
    <mergeCell ref="C65:C67"/>
    <mergeCell ref="D65:D67"/>
    <mergeCell ref="P65:P67"/>
    <mergeCell ref="Q65:Q67"/>
    <mergeCell ref="B62:B64"/>
    <mergeCell ref="C62:C64"/>
    <mergeCell ref="D62:D64"/>
    <mergeCell ref="P62:P64"/>
    <mergeCell ref="Q62:Q64"/>
  </mergeCells>
  <phoneticPr fontId="3"/>
  <dataValidations count="2">
    <dataValidation imeMode="off" allowBlank="1" showInputMessage="1" showErrorMessage="1" sqref="C28:D28 C24 C25:D26 C23:D23 B23:B28 H24:M28 E24:F28 B10:D22"/>
    <dataValidation imeMode="disabled" allowBlank="1" showInputMessage="1" showErrorMessage="1" sqref="E27:F27 E9:M23"/>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87"/>
  <sheetViews>
    <sheetView view="pageBreakPreview" zoomScale="77" zoomScaleNormal="100" zoomScaleSheetLayoutView="70" workbookViewId="0">
      <selection activeCell="S8" sqref="S8"/>
    </sheetView>
  </sheetViews>
  <sheetFormatPr defaultColWidth="9" defaultRowHeight="13.5" x14ac:dyDescent="0.15"/>
  <cols>
    <col min="1" max="1" width="17.375" style="593" customWidth="1"/>
    <col min="2" max="2" width="20.875" style="593" customWidth="1"/>
    <col min="3" max="3" width="27.125" style="593" customWidth="1"/>
    <col min="4" max="4" width="51.75" style="594" customWidth="1"/>
    <col min="5" max="5" width="17.125" style="593" bestFit="1" customWidth="1"/>
    <col min="6" max="6" width="95.375" style="593" customWidth="1"/>
    <col min="7" max="16384" width="9" style="593"/>
  </cols>
  <sheetData>
    <row r="1" spans="1:6" ht="31.5" customHeight="1" x14ac:dyDescent="0.15">
      <c r="A1" s="2304" t="s">
        <v>1398</v>
      </c>
      <c r="B1" s="2304"/>
      <c r="C1" s="2304"/>
      <c r="D1" s="2304"/>
      <c r="E1" s="2304"/>
      <c r="F1" s="2304"/>
    </row>
    <row r="2" spans="1:6" ht="22.5" customHeight="1" x14ac:dyDescent="0.15"/>
    <row r="3" spans="1:6" ht="19.5" customHeight="1" x14ac:dyDescent="0.15">
      <c r="B3" s="595"/>
      <c r="D3" s="596"/>
      <c r="E3" s="597" t="s">
        <v>1399</v>
      </c>
    </row>
    <row r="4" spans="1:6" ht="19.5" customHeight="1" x14ac:dyDescent="0.15">
      <c r="B4" s="598"/>
      <c r="D4" s="596" t="s">
        <v>1400</v>
      </c>
      <c r="E4" s="599">
        <v>200</v>
      </c>
    </row>
    <row r="5" spans="1:6" ht="19.5" customHeight="1" x14ac:dyDescent="0.15">
      <c r="B5" s="598"/>
      <c r="D5" s="596" t="s">
        <v>1401</v>
      </c>
      <c r="E5" s="599">
        <v>300</v>
      </c>
    </row>
    <row r="6" spans="1:6" ht="19.5" customHeight="1" x14ac:dyDescent="0.15">
      <c r="A6" s="600" t="s">
        <v>1402</v>
      </c>
      <c r="B6" s="601"/>
      <c r="C6" s="602"/>
      <c r="D6" s="603"/>
      <c r="E6" s="604"/>
      <c r="F6" s="601"/>
    </row>
    <row r="7" spans="1:6" ht="19.5" customHeight="1" x14ac:dyDescent="0.15">
      <c r="A7" s="602" t="s">
        <v>1403</v>
      </c>
      <c r="B7" s="601"/>
      <c r="C7" s="602"/>
      <c r="D7" s="603"/>
      <c r="E7" s="604"/>
      <c r="F7" s="601"/>
    </row>
    <row r="8" spans="1:6" ht="19.5" customHeight="1" x14ac:dyDescent="0.15">
      <c r="A8" s="605" t="s">
        <v>1391</v>
      </c>
      <c r="B8" s="2272" t="s">
        <v>1404</v>
      </c>
      <c r="C8" s="2273"/>
      <c r="D8" s="606" t="s">
        <v>1393</v>
      </c>
      <c r="E8" s="607" t="s">
        <v>1405</v>
      </c>
      <c r="F8" s="605" t="s">
        <v>1406</v>
      </c>
    </row>
    <row r="9" spans="1:6" ht="19.5" customHeight="1" x14ac:dyDescent="0.15">
      <c r="A9" s="2305" t="s">
        <v>1407</v>
      </c>
      <c r="B9" s="2306" t="s">
        <v>1408</v>
      </c>
      <c r="C9" s="2266" t="s">
        <v>1409</v>
      </c>
      <c r="D9" s="2299" t="s">
        <v>1410</v>
      </c>
      <c r="E9" s="2297">
        <v>1</v>
      </c>
      <c r="F9" s="608" t="s">
        <v>1411</v>
      </c>
    </row>
    <row r="10" spans="1:6" ht="19.5" customHeight="1" x14ac:dyDescent="0.15">
      <c r="A10" s="2305"/>
      <c r="B10" s="2307"/>
      <c r="C10" s="2268"/>
      <c r="D10" s="2300"/>
      <c r="E10" s="2298"/>
      <c r="F10" s="609" t="s">
        <v>1412</v>
      </c>
    </row>
    <row r="11" spans="1:6" ht="19.5" customHeight="1" x14ac:dyDescent="0.15">
      <c r="A11" s="2305"/>
      <c r="B11" s="2307"/>
      <c r="C11" s="610" t="s">
        <v>1413</v>
      </c>
      <c r="D11" s="611" t="s">
        <v>1414</v>
      </c>
      <c r="E11" s="612">
        <v>2</v>
      </c>
      <c r="F11" s="613" t="s">
        <v>1414</v>
      </c>
    </row>
    <row r="12" spans="1:6" ht="40.5" customHeight="1" x14ac:dyDescent="0.15">
      <c r="A12" s="2305"/>
      <c r="B12" s="2292" t="s">
        <v>1415</v>
      </c>
      <c r="C12" s="2293"/>
      <c r="D12" s="610" t="s">
        <v>1416</v>
      </c>
      <c r="E12" s="612">
        <v>3</v>
      </c>
      <c r="F12" s="614" t="s">
        <v>1417</v>
      </c>
    </row>
    <row r="13" spans="1:6" ht="19.5" customHeight="1" x14ac:dyDescent="0.15">
      <c r="A13" s="2305"/>
      <c r="B13" s="2254" t="s">
        <v>1418</v>
      </c>
      <c r="C13" s="2289" t="s">
        <v>1419</v>
      </c>
      <c r="D13" s="611" t="s">
        <v>1420</v>
      </c>
      <c r="E13" s="612">
        <v>4</v>
      </c>
      <c r="F13" s="613" t="s">
        <v>1421</v>
      </c>
    </row>
    <row r="14" spans="1:6" ht="19.5" customHeight="1" x14ac:dyDescent="0.15">
      <c r="A14" s="2305"/>
      <c r="B14" s="2307"/>
      <c r="C14" s="2290"/>
      <c r="D14" s="2310" t="s">
        <v>1422</v>
      </c>
      <c r="E14" s="2297">
        <v>5</v>
      </c>
      <c r="F14" s="608" t="s">
        <v>1423</v>
      </c>
    </row>
    <row r="15" spans="1:6" ht="19.5" customHeight="1" x14ac:dyDescent="0.15">
      <c r="A15" s="2305"/>
      <c r="B15" s="2307"/>
      <c r="C15" s="2290"/>
      <c r="D15" s="2311"/>
      <c r="E15" s="2298"/>
      <c r="F15" s="609" t="s">
        <v>1424</v>
      </c>
    </row>
    <row r="16" spans="1:6" ht="19.5" customHeight="1" x14ac:dyDescent="0.15">
      <c r="A16" s="2305"/>
      <c r="B16" s="2307"/>
      <c r="C16" s="2290"/>
      <c r="D16" s="2299" t="s">
        <v>1425</v>
      </c>
      <c r="E16" s="2297">
        <v>6</v>
      </c>
      <c r="F16" s="615" t="s">
        <v>1426</v>
      </c>
    </row>
    <row r="17" spans="1:6" ht="19.5" customHeight="1" x14ac:dyDescent="0.15">
      <c r="A17" s="2305"/>
      <c r="B17" s="2307"/>
      <c r="C17" s="2291"/>
      <c r="D17" s="2300"/>
      <c r="E17" s="2298"/>
      <c r="F17" s="616" t="s">
        <v>1427</v>
      </c>
    </row>
    <row r="18" spans="1:6" ht="19.5" customHeight="1" x14ac:dyDescent="0.15">
      <c r="A18" s="2305"/>
      <c r="B18" s="2307"/>
      <c r="C18" s="2289" t="s">
        <v>1428</v>
      </c>
      <c r="D18" s="2310" t="s">
        <v>1429</v>
      </c>
      <c r="E18" s="2297">
        <v>7</v>
      </c>
      <c r="F18" s="608" t="s">
        <v>1430</v>
      </c>
    </row>
    <row r="19" spans="1:6" ht="19.5" customHeight="1" x14ac:dyDescent="0.15">
      <c r="A19" s="2305"/>
      <c r="B19" s="2307"/>
      <c r="C19" s="2290"/>
      <c r="D19" s="2311"/>
      <c r="E19" s="2298"/>
      <c r="F19" s="609" t="s">
        <v>1431</v>
      </c>
    </row>
    <row r="20" spans="1:6" ht="19.5" customHeight="1" x14ac:dyDescent="0.15">
      <c r="A20" s="2305"/>
      <c r="B20" s="2307"/>
      <c r="C20" s="2290"/>
      <c r="D20" s="2299" t="s">
        <v>1432</v>
      </c>
      <c r="E20" s="2297">
        <v>8</v>
      </c>
      <c r="F20" s="615" t="s">
        <v>1433</v>
      </c>
    </row>
    <row r="21" spans="1:6" ht="19.5" customHeight="1" x14ac:dyDescent="0.15">
      <c r="A21" s="2305"/>
      <c r="B21" s="2307"/>
      <c r="C21" s="2290"/>
      <c r="D21" s="2300"/>
      <c r="E21" s="2298"/>
      <c r="F21" s="616" t="s">
        <v>1434</v>
      </c>
    </row>
    <row r="22" spans="1:6" ht="19.5" customHeight="1" x14ac:dyDescent="0.15">
      <c r="A22" s="2305"/>
      <c r="B22" s="2307"/>
      <c r="C22" s="2290"/>
      <c r="D22" s="2299" t="s">
        <v>1435</v>
      </c>
      <c r="E22" s="2297">
        <v>9</v>
      </c>
      <c r="F22" s="608" t="s">
        <v>1436</v>
      </c>
    </row>
    <row r="23" spans="1:6" ht="19.5" customHeight="1" x14ac:dyDescent="0.15">
      <c r="A23" s="2305"/>
      <c r="B23" s="2307"/>
      <c r="C23" s="2290"/>
      <c r="D23" s="2301"/>
      <c r="E23" s="2309"/>
      <c r="F23" s="617" t="s">
        <v>1437</v>
      </c>
    </row>
    <row r="24" spans="1:6" ht="19.5" customHeight="1" x14ac:dyDescent="0.15">
      <c r="A24" s="2305"/>
      <c r="B24" s="2307"/>
      <c r="C24" s="2291"/>
      <c r="D24" s="2300"/>
      <c r="E24" s="2298"/>
      <c r="F24" s="609" t="s">
        <v>1438</v>
      </c>
    </row>
    <row r="25" spans="1:6" ht="19.5" customHeight="1" x14ac:dyDescent="0.15">
      <c r="A25" s="2305"/>
      <c r="B25" s="2307"/>
      <c r="C25" s="2293" t="s">
        <v>1439</v>
      </c>
      <c r="D25" s="618" t="s">
        <v>1440</v>
      </c>
      <c r="E25" s="612">
        <v>10</v>
      </c>
      <c r="F25" s="613" t="s">
        <v>1441</v>
      </c>
    </row>
    <row r="26" spans="1:6" ht="19.5" customHeight="1" x14ac:dyDescent="0.15">
      <c r="A26" s="2305"/>
      <c r="B26" s="2307"/>
      <c r="C26" s="2293"/>
      <c r="D26" s="618" t="s">
        <v>1442</v>
      </c>
      <c r="E26" s="612">
        <v>11</v>
      </c>
      <c r="F26" s="619" t="s">
        <v>1443</v>
      </c>
    </row>
    <row r="27" spans="1:6" ht="19.5" customHeight="1" x14ac:dyDescent="0.15">
      <c r="A27" s="2305"/>
      <c r="B27" s="2307"/>
      <c r="C27" s="2293"/>
      <c r="D27" s="618" t="s">
        <v>1444</v>
      </c>
      <c r="E27" s="612">
        <v>12</v>
      </c>
      <c r="F27" s="613" t="s">
        <v>1444</v>
      </c>
    </row>
    <row r="28" spans="1:6" ht="19.5" customHeight="1" x14ac:dyDescent="0.15">
      <c r="A28" s="2305"/>
      <c r="B28" s="2307"/>
      <c r="C28" s="2289" t="s">
        <v>2</v>
      </c>
      <c r="D28" s="618" t="s">
        <v>1445</v>
      </c>
      <c r="E28" s="612">
        <v>13</v>
      </c>
      <c r="F28" s="619" t="s">
        <v>1446</v>
      </c>
    </row>
    <row r="29" spans="1:6" ht="19.5" customHeight="1" x14ac:dyDescent="0.15">
      <c r="A29" s="2305"/>
      <c r="B29" s="2307"/>
      <c r="C29" s="2290"/>
      <c r="D29" s="618" t="s">
        <v>1447</v>
      </c>
      <c r="E29" s="612">
        <v>14</v>
      </c>
      <c r="F29" s="613" t="s">
        <v>1448</v>
      </c>
    </row>
    <row r="30" spans="1:6" ht="19.5" customHeight="1" x14ac:dyDescent="0.15">
      <c r="A30" s="2305"/>
      <c r="B30" s="2307"/>
      <c r="C30" s="2290"/>
      <c r="D30" s="2299" t="s">
        <v>1449</v>
      </c>
      <c r="E30" s="2297">
        <v>15</v>
      </c>
      <c r="F30" s="608" t="s">
        <v>1450</v>
      </c>
    </row>
    <row r="31" spans="1:6" ht="19.5" customHeight="1" x14ac:dyDescent="0.15">
      <c r="A31" s="2305"/>
      <c r="B31" s="2307"/>
      <c r="C31" s="2290"/>
      <c r="D31" s="2301"/>
      <c r="E31" s="2309"/>
      <c r="F31" s="617" t="s">
        <v>1451</v>
      </c>
    </row>
    <row r="32" spans="1:6" ht="19.5" customHeight="1" x14ac:dyDescent="0.15">
      <c r="A32" s="2305"/>
      <c r="B32" s="2307"/>
      <c r="C32" s="2290"/>
      <c r="D32" s="2301"/>
      <c r="E32" s="2309"/>
      <c r="F32" s="617" t="s">
        <v>1438</v>
      </c>
    </row>
    <row r="33" spans="1:6" ht="19.5" customHeight="1" x14ac:dyDescent="0.15">
      <c r="A33" s="2305"/>
      <c r="B33" s="2307"/>
      <c r="C33" s="2291"/>
      <c r="D33" s="2300"/>
      <c r="E33" s="2298"/>
      <c r="F33" s="609" t="s">
        <v>1452</v>
      </c>
    </row>
    <row r="34" spans="1:6" ht="19.5" customHeight="1" x14ac:dyDescent="0.15">
      <c r="A34" s="2305"/>
      <c r="B34" s="2307"/>
      <c r="C34" s="2257" t="s">
        <v>1453</v>
      </c>
      <c r="D34" s="2310" t="s">
        <v>1454</v>
      </c>
      <c r="E34" s="2263">
        <v>16</v>
      </c>
      <c r="F34" s="615" t="s">
        <v>1455</v>
      </c>
    </row>
    <row r="35" spans="1:6" ht="19.5" customHeight="1" x14ac:dyDescent="0.15">
      <c r="A35" s="2305"/>
      <c r="B35" s="2308"/>
      <c r="C35" s="2259"/>
      <c r="D35" s="2311"/>
      <c r="E35" s="2265"/>
      <c r="F35" s="616" t="s">
        <v>1456</v>
      </c>
    </row>
    <row r="36" spans="1:6" ht="15" customHeight="1" x14ac:dyDescent="0.15">
      <c r="B36" s="620"/>
      <c r="C36" s="620"/>
      <c r="D36" s="621"/>
      <c r="E36" s="622"/>
    </row>
    <row r="37" spans="1:6" ht="15" customHeight="1" x14ac:dyDescent="0.15">
      <c r="A37" s="602" t="s">
        <v>1457</v>
      </c>
      <c r="B37" s="601"/>
      <c r="C37" s="623"/>
      <c r="D37" s="603"/>
      <c r="E37" s="604"/>
      <c r="F37" s="601"/>
    </row>
    <row r="38" spans="1:6" ht="19.5" customHeight="1" x14ac:dyDescent="0.15">
      <c r="A38" s="605" t="s">
        <v>1391</v>
      </c>
      <c r="B38" s="2272" t="s">
        <v>1404</v>
      </c>
      <c r="C38" s="2273"/>
      <c r="D38" s="606" t="s">
        <v>1393</v>
      </c>
      <c r="E38" s="607" t="s">
        <v>1405</v>
      </c>
      <c r="F38" s="605" t="s">
        <v>1406</v>
      </c>
    </row>
    <row r="39" spans="1:6" ht="19.5" customHeight="1" x14ac:dyDescent="0.15">
      <c r="A39" s="2274" t="s">
        <v>1458</v>
      </c>
      <c r="B39" s="2292" t="s">
        <v>1459</v>
      </c>
      <c r="C39" s="2293"/>
      <c r="D39" s="624" t="s">
        <v>1460</v>
      </c>
      <c r="E39" s="625">
        <v>17</v>
      </c>
      <c r="F39" s="613" t="s">
        <v>1461</v>
      </c>
    </row>
    <row r="40" spans="1:6" ht="19.5" customHeight="1" x14ac:dyDescent="0.15">
      <c r="A40" s="2274"/>
      <c r="B40" s="2292"/>
      <c r="C40" s="2293"/>
      <c r="D40" s="624" t="s">
        <v>1462</v>
      </c>
      <c r="E40" s="625">
        <v>18</v>
      </c>
      <c r="F40" s="613" t="s">
        <v>1463</v>
      </c>
    </row>
    <row r="41" spans="1:6" ht="19.5" customHeight="1" x14ac:dyDescent="0.15">
      <c r="A41" s="2274"/>
      <c r="B41" s="2292"/>
      <c r="C41" s="2293"/>
      <c r="D41" s="624" t="s">
        <v>1464</v>
      </c>
      <c r="E41" s="625">
        <v>19</v>
      </c>
      <c r="F41" s="613" t="s">
        <v>1465</v>
      </c>
    </row>
    <row r="42" spans="1:6" ht="19.5" customHeight="1" x14ac:dyDescent="0.15">
      <c r="A42" s="2274"/>
      <c r="B42" s="2292"/>
      <c r="C42" s="2293"/>
      <c r="D42" s="624" t="s">
        <v>1466</v>
      </c>
      <c r="E42" s="625">
        <v>20</v>
      </c>
      <c r="F42" s="626" t="s">
        <v>1467</v>
      </c>
    </row>
    <row r="43" spans="1:6" ht="19.5" customHeight="1" x14ac:dyDescent="0.15">
      <c r="A43" s="2274"/>
      <c r="B43" s="2292"/>
      <c r="C43" s="2293"/>
      <c r="D43" s="624" t="s">
        <v>1468</v>
      </c>
      <c r="E43" s="625">
        <v>21</v>
      </c>
      <c r="F43" s="613" t="s">
        <v>1469</v>
      </c>
    </row>
    <row r="44" spans="1:6" ht="19.5" customHeight="1" x14ac:dyDescent="0.15">
      <c r="A44" s="2274"/>
      <c r="B44" s="2292"/>
      <c r="C44" s="2293"/>
      <c r="D44" s="624" t="s">
        <v>1470</v>
      </c>
      <c r="E44" s="625">
        <v>22</v>
      </c>
      <c r="F44" s="613" t="s">
        <v>1471</v>
      </c>
    </row>
    <row r="45" spans="1:6" ht="19.5" customHeight="1" x14ac:dyDescent="0.15">
      <c r="A45" s="2274"/>
      <c r="B45" s="2292"/>
      <c r="C45" s="2293"/>
      <c r="D45" s="624" t="s">
        <v>408</v>
      </c>
      <c r="E45" s="625">
        <v>23</v>
      </c>
      <c r="F45" s="627" t="s">
        <v>1472</v>
      </c>
    </row>
    <row r="46" spans="1:6" ht="15" customHeight="1" x14ac:dyDescent="0.15">
      <c r="B46" s="595"/>
      <c r="C46" s="595"/>
      <c r="D46" s="628"/>
      <c r="E46" s="629"/>
    </row>
    <row r="47" spans="1:6" ht="19.5" customHeight="1" x14ac:dyDescent="0.15">
      <c r="A47" s="600" t="s">
        <v>1473</v>
      </c>
      <c r="C47" s="595"/>
      <c r="D47" s="628"/>
      <c r="E47" s="629"/>
    </row>
    <row r="48" spans="1:6" ht="19.5" customHeight="1" x14ac:dyDescent="0.15">
      <c r="A48" s="602" t="s">
        <v>1474</v>
      </c>
      <c r="C48" s="595"/>
      <c r="D48" s="628"/>
      <c r="E48" s="629"/>
    </row>
    <row r="49" spans="1:6" ht="18.75" x14ac:dyDescent="0.15">
      <c r="A49" s="605" t="s">
        <v>1391</v>
      </c>
      <c r="B49" s="2272" t="s">
        <v>1404</v>
      </c>
      <c r="C49" s="2273"/>
      <c r="D49" s="606" t="s">
        <v>1393</v>
      </c>
      <c r="E49" s="607" t="s">
        <v>1405</v>
      </c>
      <c r="F49" s="605" t="s">
        <v>1406</v>
      </c>
    </row>
    <row r="50" spans="1:6" ht="18.75" customHeight="1" x14ac:dyDescent="0.15">
      <c r="A50" s="2274" t="s">
        <v>1475</v>
      </c>
      <c r="B50" s="2254" t="s">
        <v>1476</v>
      </c>
      <c r="C50" s="2254" t="s">
        <v>1477</v>
      </c>
      <c r="D50" s="2266" t="s">
        <v>1478</v>
      </c>
      <c r="E50" s="2269">
        <v>24</v>
      </c>
      <c r="F50" s="619" t="s">
        <v>1479</v>
      </c>
    </row>
    <row r="51" spans="1:6" ht="18.75" customHeight="1" x14ac:dyDescent="0.15">
      <c r="A51" s="2274"/>
      <c r="B51" s="2255"/>
      <c r="C51" s="2255"/>
      <c r="D51" s="2268"/>
      <c r="E51" s="2271"/>
      <c r="F51" s="616" t="s">
        <v>1480</v>
      </c>
    </row>
    <row r="52" spans="1:6" ht="18.75" customHeight="1" x14ac:dyDescent="0.15">
      <c r="A52" s="2274"/>
      <c r="B52" s="2255"/>
      <c r="C52" s="2255"/>
      <c r="D52" s="2302" t="s">
        <v>1481</v>
      </c>
      <c r="E52" s="2269">
        <v>25</v>
      </c>
      <c r="F52" s="619" t="s">
        <v>1482</v>
      </c>
    </row>
    <row r="53" spans="1:6" ht="18.75" customHeight="1" x14ac:dyDescent="0.15">
      <c r="A53" s="2274"/>
      <c r="B53" s="2255"/>
      <c r="C53" s="2255"/>
      <c r="D53" s="2303"/>
      <c r="E53" s="2271"/>
      <c r="F53" s="616" t="s">
        <v>1483</v>
      </c>
    </row>
    <row r="54" spans="1:6" ht="18.75" customHeight="1" x14ac:dyDescent="0.15">
      <c r="A54" s="2274"/>
      <c r="B54" s="2255"/>
      <c r="C54" s="2255"/>
      <c r="D54" s="2266" t="s">
        <v>1484</v>
      </c>
      <c r="E54" s="2269">
        <v>26</v>
      </c>
      <c r="F54" s="619" t="s">
        <v>1485</v>
      </c>
    </row>
    <row r="55" spans="1:6" ht="18.75" customHeight="1" x14ac:dyDescent="0.15">
      <c r="A55" s="2274"/>
      <c r="B55" s="2255"/>
      <c r="C55" s="2255"/>
      <c r="D55" s="2268"/>
      <c r="E55" s="2271"/>
      <c r="F55" s="616" t="s">
        <v>1486</v>
      </c>
    </row>
    <row r="56" spans="1:6" ht="18.75" customHeight="1" x14ac:dyDescent="0.15">
      <c r="A56" s="2274"/>
      <c r="B56" s="2255"/>
      <c r="C56" s="2255"/>
      <c r="D56" s="2266" t="s">
        <v>1487</v>
      </c>
      <c r="E56" s="2269">
        <v>27</v>
      </c>
      <c r="F56" s="619" t="s">
        <v>1488</v>
      </c>
    </row>
    <row r="57" spans="1:6" ht="18.75" customHeight="1" x14ac:dyDescent="0.15">
      <c r="A57" s="2274"/>
      <c r="B57" s="2255"/>
      <c r="C57" s="2256"/>
      <c r="D57" s="2268"/>
      <c r="E57" s="2271"/>
      <c r="F57" s="616" t="s">
        <v>1489</v>
      </c>
    </row>
    <row r="58" spans="1:6" ht="18.75" customHeight="1" x14ac:dyDescent="0.15">
      <c r="A58" s="2274"/>
      <c r="B58" s="2255"/>
      <c r="C58" s="630" t="s">
        <v>1413</v>
      </c>
      <c r="D58" s="631" t="s">
        <v>1414</v>
      </c>
      <c r="E58" s="625">
        <v>28</v>
      </c>
      <c r="F58" s="613" t="s">
        <v>1414</v>
      </c>
    </row>
    <row r="59" spans="1:6" ht="18.75" customHeight="1" x14ac:dyDescent="0.15">
      <c r="A59" s="2274"/>
      <c r="B59" s="2294" t="s">
        <v>1415</v>
      </c>
      <c r="C59" s="2289"/>
      <c r="D59" s="2266" t="s">
        <v>1490</v>
      </c>
      <c r="E59" s="2269">
        <v>29</v>
      </c>
      <c r="F59" s="615" t="s">
        <v>1491</v>
      </c>
    </row>
    <row r="60" spans="1:6" ht="18.75" customHeight="1" x14ac:dyDescent="0.15">
      <c r="A60" s="2274"/>
      <c r="B60" s="2295"/>
      <c r="C60" s="2290"/>
      <c r="D60" s="2267"/>
      <c r="E60" s="2270"/>
      <c r="F60" s="617" t="s">
        <v>1492</v>
      </c>
    </row>
    <row r="61" spans="1:6" ht="37.5" x14ac:dyDescent="0.15">
      <c r="A61" s="2274"/>
      <c r="B61" s="2296"/>
      <c r="C61" s="2291"/>
      <c r="D61" s="2268"/>
      <c r="E61" s="2271"/>
      <c r="F61" s="616" t="s">
        <v>1493</v>
      </c>
    </row>
    <row r="62" spans="1:6" ht="18.75" customHeight="1" x14ac:dyDescent="0.15">
      <c r="A62" s="2274"/>
      <c r="B62" s="2254" t="s">
        <v>1418</v>
      </c>
      <c r="C62" s="2289" t="s">
        <v>1494</v>
      </c>
      <c r="D62" s="2266" t="s">
        <v>1495</v>
      </c>
      <c r="E62" s="2269">
        <v>30</v>
      </c>
      <c r="F62" s="615" t="s">
        <v>1496</v>
      </c>
    </row>
    <row r="63" spans="1:6" ht="18.75" customHeight="1" x14ac:dyDescent="0.15">
      <c r="A63" s="2274"/>
      <c r="B63" s="2255"/>
      <c r="C63" s="2290"/>
      <c r="D63" s="2267"/>
      <c r="E63" s="2270"/>
      <c r="F63" s="617" t="s">
        <v>1497</v>
      </c>
    </row>
    <row r="64" spans="1:6" ht="18.75" customHeight="1" x14ac:dyDescent="0.15">
      <c r="A64" s="2274"/>
      <c r="B64" s="2255"/>
      <c r="C64" s="2290"/>
      <c r="D64" s="2267"/>
      <c r="E64" s="2270"/>
      <c r="F64" s="608" t="s">
        <v>1498</v>
      </c>
    </row>
    <row r="65" spans="1:6" ht="18.75" customHeight="1" x14ac:dyDescent="0.15">
      <c r="A65" s="2274"/>
      <c r="B65" s="2255"/>
      <c r="C65" s="2290"/>
      <c r="D65" s="2267"/>
      <c r="E65" s="2270"/>
      <c r="F65" s="617" t="s">
        <v>1499</v>
      </c>
    </row>
    <row r="66" spans="1:6" ht="18.75" customHeight="1" x14ac:dyDescent="0.15">
      <c r="A66" s="2274"/>
      <c r="B66" s="2255"/>
      <c r="C66" s="2290"/>
      <c r="D66" s="2267"/>
      <c r="E66" s="2270"/>
      <c r="F66" s="617" t="s">
        <v>1500</v>
      </c>
    </row>
    <row r="67" spans="1:6" ht="18.75" customHeight="1" x14ac:dyDescent="0.15">
      <c r="A67" s="2274"/>
      <c r="B67" s="2255"/>
      <c r="C67" s="2290"/>
      <c r="D67" s="2267"/>
      <c r="E67" s="2270"/>
      <c r="F67" s="617" t="s">
        <v>1501</v>
      </c>
    </row>
    <row r="68" spans="1:6" ht="18.75" customHeight="1" x14ac:dyDescent="0.15">
      <c r="A68" s="2274"/>
      <c r="B68" s="2255"/>
      <c r="C68" s="2291"/>
      <c r="D68" s="2268"/>
      <c r="E68" s="2271"/>
      <c r="F68" s="616" t="s">
        <v>1502</v>
      </c>
    </row>
    <row r="69" spans="1:6" ht="18.75" customHeight="1" x14ac:dyDescent="0.15">
      <c r="A69" s="2274"/>
      <c r="B69" s="2255"/>
      <c r="C69" s="2289" t="s">
        <v>0</v>
      </c>
      <c r="D69" s="2266" t="s">
        <v>1503</v>
      </c>
      <c r="E69" s="2269">
        <v>31</v>
      </c>
      <c r="F69" s="615" t="s">
        <v>1504</v>
      </c>
    </row>
    <row r="70" spans="1:6" ht="18.75" customHeight="1" x14ac:dyDescent="0.15">
      <c r="A70" s="2274"/>
      <c r="B70" s="2255"/>
      <c r="C70" s="2290"/>
      <c r="D70" s="2267"/>
      <c r="E70" s="2270"/>
      <c r="F70" s="617" t="s">
        <v>1505</v>
      </c>
    </row>
    <row r="71" spans="1:6" ht="18.75" customHeight="1" x14ac:dyDescent="0.15">
      <c r="A71" s="2274"/>
      <c r="B71" s="2255"/>
      <c r="C71" s="2290"/>
      <c r="D71" s="2267"/>
      <c r="E71" s="2270"/>
      <c r="F71" s="617" t="s">
        <v>1506</v>
      </c>
    </row>
    <row r="72" spans="1:6" ht="18.75" customHeight="1" x14ac:dyDescent="0.15">
      <c r="A72" s="2274"/>
      <c r="B72" s="2255"/>
      <c r="C72" s="2290"/>
      <c r="D72" s="2267"/>
      <c r="E72" s="2270"/>
      <c r="F72" s="617" t="s">
        <v>1507</v>
      </c>
    </row>
    <row r="73" spans="1:6" ht="18.75" customHeight="1" x14ac:dyDescent="0.15">
      <c r="A73" s="2274"/>
      <c r="B73" s="2255"/>
      <c r="C73" s="2290"/>
      <c r="D73" s="2267"/>
      <c r="E73" s="2270"/>
      <c r="F73" s="617" t="s">
        <v>1508</v>
      </c>
    </row>
    <row r="74" spans="1:6" ht="18.75" customHeight="1" x14ac:dyDescent="0.15">
      <c r="A74" s="2274"/>
      <c r="B74" s="2255"/>
      <c r="C74" s="2290"/>
      <c r="D74" s="2267"/>
      <c r="E74" s="2270"/>
      <c r="F74" s="617" t="s">
        <v>1509</v>
      </c>
    </row>
    <row r="75" spans="1:6" ht="18.75" customHeight="1" x14ac:dyDescent="0.15">
      <c r="A75" s="2274"/>
      <c r="B75" s="2255"/>
      <c r="C75" s="2290"/>
      <c r="D75" s="2267"/>
      <c r="E75" s="2270"/>
      <c r="F75" s="617" t="s">
        <v>1510</v>
      </c>
    </row>
    <row r="76" spans="1:6" ht="18.75" customHeight="1" x14ac:dyDescent="0.15">
      <c r="A76" s="2274"/>
      <c r="B76" s="2255"/>
      <c r="C76" s="2290"/>
      <c r="D76" s="2267"/>
      <c r="E76" s="2270"/>
      <c r="F76" s="617" t="s">
        <v>1511</v>
      </c>
    </row>
    <row r="77" spans="1:6" ht="18.75" customHeight="1" x14ac:dyDescent="0.15">
      <c r="A77" s="2274"/>
      <c r="B77" s="2255"/>
      <c r="C77" s="2290"/>
      <c r="D77" s="2267"/>
      <c r="E77" s="2270"/>
      <c r="F77" s="617" t="s">
        <v>1512</v>
      </c>
    </row>
    <row r="78" spans="1:6" ht="18.75" customHeight="1" x14ac:dyDescent="0.15">
      <c r="A78" s="2274"/>
      <c r="B78" s="2255"/>
      <c r="C78" s="2290"/>
      <c r="D78" s="2267"/>
      <c r="E78" s="2270"/>
      <c r="F78" s="617" t="s">
        <v>1513</v>
      </c>
    </row>
    <row r="79" spans="1:6" ht="18.75" customHeight="1" x14ac:dyDescent="0.15">
      <c r="A79" s="2274"/>
      <c r="B79" s="2255"/>
      <c r="C79" s="2290"/>
      <c r="D79" s="2267"/>
      <c r="E79" s="2270"/>
      <c r="F79" s="617" t="s">
        <v>1514</v>
      </c>
    </row>
    <row r="80" spans="1:6" ht="18.75" customHeight="1" x14ac:dyDescent="0.15">
      <c r="A80" s="2274"/>
      <c r="B80" s="2255"/>
      <c r="C80" s="2290"/>
      <c r="D80" s="2267"/>
      <c r="E80" s="2270"/>
      <c r="F80" s="608" t="s">
        <v>1515</v>
      </c>
    </row>
    <row r="81" spans="1:6" ht="18.75" customHeight="1" x14ac:dyDescent="0.15">
      <c r="A81" s="2274"/>
      <c r="B81" s="2255"/>
      <c r="C81" s="2290"/>
      <c r="D81" s="2267"/>
      <c r="E81" s="2270"/>
      <c r="F81" s="617" t="s">
        <v>1516</v>
      </c>
    </row>
    <row r="82" spans="1:6" ht="18.75" customHeight="1" x14ac:dyDescent="0.15">
      <c r="A82" s="2274"/>
      <c r="B82" s="2255"/>
      <c r="C82" s="2290"/>
      <c r="D82" s="2267"/>
      <c r="E82" s="2270"/>
      <c r="F82" s="617" t="s">
        <v>1517</v>
      </c>
    </row>
    <row r="83" spans="1:6" ht="18.75" customHeight="1" x14ac:dyDescent="0.15">
      <c r="A83" s="2274"/>
      <c r="B83" s="2255"/>
      <c r="C83" s="2290"/>
      <c r="D83" s="2267"/>
      <c r="E83" s="2270"/>
      <c r="F83" s="617" t="s">
        <v>1518</v>
      </c>
    </row>
    <row r="84" spans="1:6" ht="18.75" customHeight="1" x14ac:dyDescent="0.15">
      <c r="A84" s="2274"/>
      <c r="B84" s="2255"/>
      <c r="C84" s="2291"/>
      <c r="D84" s="2268"/>
      <c r="E84" s="2271"/>
      <c r="F84" s="616" t="s">
        <v>1519</v>
      </c>
    </row>
    <row r="85" spans="1:6" ht="18.75" customHeight="1" x14ac:dyDescent="0.15">
      <c r="A85" s="2274"/>
      <c r="B85" s="2255"/>
      <c r="C85" s="2289" t="s">
        <v>1</v>
      </c>
      <c r="D85" s="2260" t="s">
        <v>1520</v>
      </c>
      <c r="E85" s="2269">
        <v>32</v>
      </c>
      <c r="F85" s="615" t="s">
        <v>1521</v>
      </c>
    </row>
    <row r="86" spans="1:6" ht="18.75" customHeight="1" x14ac:dyDescent="0.15">
      <c r="A86" s="2274"/>
      <c r="B86" s="2255"/>
      <c r="C86" s="2290"/>
      <c r="D86" s="2261"/>
      <c r="E86" s="2270"/>
      <c r="F86" s="617" t="s">
        <v>1522</v>
      </c>
    </row>
    <row r="87" spans="1:6" ht="18.75" customHeight="1" x14ac:dyDescent="0.15">
      <c r="A87" s="2274"/>
      <c r="B87" s="2255"/>
      <c r="C87" s="2290"/>
      <c r="D87" s="2261"/>
      <c r="E87" s="2270"/>
      <c r="F87" s="617" t="s">
        <v>1523</v>
      </c>
    </row>
    <row r="88" spans="1:6" ht="18.75" customHeight="1" x14ac:dyDescent="0.15">
      <c r="A88" s="2274"/>
      <c r="B88" s="2255"/>
      <c r="C88" s="2290"/>
      <c r="D88" s="2261"/>
      <c r="E88" s="2270"/>
      <c r="F88" s="617" t="s">
        <v>1524</v>
      </c>
    </row>
    <row r="89" spans="1:6" ht="18.75" customHeight="1" x14ac:dyDescent="0.15">
      <c r="A89" s="2274"/>
      <c r="B89" s="2255"/>
      <c r="C89" s="2290"/>
      <c r="D89" s="2261"/>
      <c r="E89" s="2270"/>
      <c r="F89" s="608" t="s">
        <v>1525</v>
      </c>
    </row>
    <row r="90" spans="1:6" ht="18.75" customHeight="1" x14ac:dyDescent="0.15">
      <c r="A90" s="2274"/>
      <c r="B90" s="2255"/>
      <c r="C90" s="2290"/>
      <c r="D90" s="2261"/>
      <c r="E90" s="2270"/>
      <c r="F90" s="617" t="s">
        <v>1526</v>
      </c>
    </row>
    <row r="91" spans="1:6" ht="18.75" customHeight="1" x14ac:dyDescent="0.15">
      <c r="A91" s="2274"/>
      <c r="B91" s="2255"/>
      <c r="C91" s="2290"/>
      <c r="D91" s="2261"/>
      <c r="E91" s="2270"/>
      <c r="F91" s="617" t="s">
        <v>1527</v>
      </c>
    </row>
    <row r="92" spans="1:6" ht="18.75" customHeight="1" x14ac:dyDescent="0.15">
      <c r="A92" s="2274"/>
      <c r="B92" s="2255"/>
      <c r="C92" s="2291"/>
      <c r="D92" s="2262"/>
      <c r="E92" s="2271"/>
      <c r="F92" s="616" t="s">
        <v>1528</v>
      </c>
    </row>
    <row r="93" spans="1:6" ht="18.75" customHeight="1" x14ac:dyDescent="0.15">
      <c r="A93" s="2274"/>
      <c r="B93" s="2255"/>
      <c r="C93" s="2254" t="s">
        <v>2</v>
      </c>
      <c r="D93" s="2260" t="s">
        <v>1529</v>
      </c>
      <c r="E93" s="2269">
        <v>33</v>
      </c>
      <c r="F93" s="615" t="s">
        <v>1530</v>
      </c>
    </row>
    <row r="94" spans="1:6" ht="18.75" customHeight="1" x14ac:dyDescent="0.15">
      <c r="A94" s="2274"/>
      <c r="B94" s="2255"/>
      <c r="C94" s="2255"/>
      <c r="D94" s="2261"/>
      <c r="E94" s="2270"/>
      <c r="F94" s="617" t="s">
        <v>1531</v>
      </c>
    </row>
    <row r="95" spans="1:6" ht="18.75" customHeight="1" x14ac:dyDescent="0.15">
      <c r="A95" s="2274"/>
      <c r="B95" s="2255"/>
      <c r="C95" s="2255"/>
      <c r="D95" s="2261"/>
      <c r="E95" s="2270"/>
      <c r="F95" s="617" t="s">
        <v>1532</v>
      </c>
    </row>
    <row r="96" spans="1:6" ht="18.75" customHeight="1" x14ac:dyDescent="0.15">
      <c r="A96" s="2274"/>
      <c r="B96" s="2255"/>
      <c r="C96" s="2255"/>
      <c r="D96" s="2261"/>
      <c r="E96" s="2270"/>
      <c r="F96" s="617" t="s">
        <v>1533</v>
      </c>
    </row>
    <row r="97" spans="1:6" ht="18.75" customHeight="1" x14ac:dyDescent="0.15">
      <c r="A97" s="2274"/>
      <c r="B97" s="2255"/>
      <c r="C97" s="2255"/>
      <c r="D97" s="2261"/>
      <c r="E97" s="2270"/>
      <c r="F97" s="617" t="s">
        <v>1534</v>
      </c>
    </row>
    <row r="98" spans="1:6" ht="18.75" customHeight="1" x14ac:dyDescent="0.15">
      <c r="A98" s="2274"/>
      <c r="B98" s="2255"/>
      <c r="C98" s="2255"/>
      <c r="D98" s="2261"/>
      <c r="E98" s="2270"/>
      <c r="F98" s="617" t="s">
        <v>1535</v>
      </c>
    </row>
    <row r="99" spans="1:6" ht="18.75" customHeight="1" x14ac:dyDescent="0.15">
      <c r="A99" s="2274"/>
      <c r="B99" s="2255"/>
      <c r="C99" s="2255"/>
      <c r="D99" s="2261"/>
      <c r="E99" s="2270"/>
      <c r="F99" s="608" t="s">
        <v>1536</v>
      </c>
    </row>
    <row r="100" spans="1:6" ht="18.75" customHeight="1" x14ac:dyDescent="0.15">
      <c r="A100" s="2274"/>
      <c r="B100" s="2256"/>
      <c r="C100" s="2256"/>
      <c r="D100" s="2262"/>
      <c r="E100" s="2271"/>
      <c r="F100" s="616" t="s">
        <v>1519</v>
      </c>
    </row>
    <row r="101" spans="1:6" ht="15" customHeight="1" x14ac:dyDescent="0.15">
      <c r="B101" s="595"/>
      <c r="C101" s="595"/>
      <c r="D101" s="628"/>
      <c r="E101" s="629"/>
    </row>
    <row r="102" spans="1:6" ht="19.5" customHeight="1" x14ac:dyDescent="0.15">
      <c r="A102" s="602" t="s">
        <v>1537</v>
      </c>
      <c r="C102" s="595"/>
      <c r="D102" s="632"/>
      <c r="E102" s="629"/>
    </row>
    <row r="103" spans="1:6" ht="19.5" customHeight="1" x14ac:dyDescent="0.15">
      <c r="A103" s="2276" t="s">
        <v>1391</v>
      </c>
      <c r="B103" s="2277" t="s">
        <v>1404</v>
      </c>
      <c r="C103" s="2278"/>
      <c r="D103" s="2279" t="s">
        <v>1538</v>
      </c>
      <c r="E103" s="2287" t="s">
        <v>1405</v>
      </c>
      <c r="F103" s="2276" t="s">
        <v>1406</v>
      </c>
    </row>
    <row r="104" spans="1:6" ht="19.5" customHeight="1" x14ac:dyDescent="0.15">
      <c r="A104" s="2276"/>
      <c r="B104" s="633"/>
      <c r="C104" s="606" t="s">
        <v>1539</v>
      </c>
      <c r="D104" s="2280"/>
      <c r="E104" s="2288"/>
      <c r="F104" s="2276"/>
    </row>
    <row r="105" spans="1:6" ht="18.75" customHeight="1" x14ac:dyDescent="0.15">
      <c r="A105" s="2274" t="s">
        <v>1475</v>
      </c>
      <c r="B105" s="2275" t="s">
        <v>1413</v>
      </c>
      <c r="C105" s="596" t="s">
        <v>1540</v>
      </c>
      <c r="D105" s="630" t="s">
        <v>1541</v>
      </c>
      <c r="E105" s="625">
        <v>34</v>
      </c>
      <c r="F105" s="627" t="s">
        <v>1542</v>
      </c>
    </row>
    <row r="106" spans="1:6" ht="18.75" customHeight="1" x14ac:dyDescent="0.15">
      <c r="A106" s="2274"/>
      <c r="B106" s="2275"/>
      <c r="C106" s="2254" t="s">
        <v>1543</v>
      </c>
      <c r="D106" s="2266" t="s">
        <v>1544</v>
      </c>
      <c r="E106" s="2269">
        <v>35</v>
      </c>
      <c r="F106" s="634" t="s">
        <v>1545</v>
      </c>
    </row>
    <row r="107" spans="1:6" ht="18.75" customHeight="1" x14ac:dyDescent="0.15">
      <c r="A107" s="2274"/>
      <c r="B107" s="2275"/>
      <c r="C107" s="2256"/>
      <c r="D107" s="2268"/>
      <c r="E107" s="2271"/>
      <c r="F107" s="635" t="s">
        <v>1546</v>
      </c>
    </row>
    <row r="108" spans="1:6" ht="38.25" customHeight="1" x14ac:dyDescent="0.15">
      <c r="A108" s="2274"/>
      <c r="B108" s="2275"/>
      <c r="C108" s="596" t="s">
        <v>1547</v>
      </c>
      <c r="D108" s="630" t="s">
        <v>1548</v>
      </c>
      <c r="E108" s="625">
        <v>36</v>
      </c>
      <c r="F108" s="613" t="s">
        <v>1549</v>
      </c>
    </row>
    <row r="109" spans="1:6" ht="18.75" customHeight="1" x14ac:dyDescent="0.15">
      <c r="A109" s="2274"/>
      <c r="B109" s="2275"/>
      <c r="C109" s="2254" t="s">
        <v>1550</v>
      </c>
      <c r="D109" s="2266" t="s">
        <v>1551</v>
      </c>
      <c r="E109" s="2269">
        <v>37</v>
      </c>
      <c r="F109" s="634" t="s">
        <v>1552</v>
      </c>
    </row>
    <row r="110" spans="1:6" ht="18.75" customHeight="1" x14ac:dyDescent="0.15">
      <c r="A110" s="2274"/>
      <c r="B110" s="2275"/>
      <c r="C110" s="2256"/>
      <c r="D110" s="2268"/>
      <c r="E110" s="2271"/>
      <c r="F110" s="635" t="s">
        <v>1553</v>
      </c>
    </row>
    <row r="111" spans="1:6" ht="18" customHeight="1" x14ac:dyDescent="0.15">
      <c r="A111" s="2274"/>
      <c r="B111" s="2275"/>
      <c r="C111" s="596" t="s">
        <v>1554</v>
      </c>
      <c r="D111" s="630" t="s">
        <v>1555</v>
      </c>
      <c r="E111" s="625">
        <v>38</v>
      </c>
      <c r="F111" s="636" t="s">
        <v>1556</v>
      </c>
    </row>
    <row r="112" spans="1:6" ht="18" customHeight="1" x14ac:dyDescent="0.15">
      <c r="A112" s="2274"/>
      <c r="B112" s="2275" t="s">
        <v>1418</v>
      </c>
      <c r="C112" s="2257" t="s">
        <v>1540</v>
      </c>
      <c r="D112" s="630" t="s">
        <v>1557</v>
      </c>
      <c r="E112" s="625">
        <v>39</v>
      </c>
      <c r="F112" s="627" t="s">
        <v>1558</v>
      </c>
    </row>
    <row r="113" spans="1:6" ht="18" customHeight="1" x14ac:dyDescent="0.15">
      <c r="A113" s="2274"/>
      <c r="B113" s="2275"/>
      <c r="C113" s="2258"/>
      <c r="D113" s="630" t="s">
        <v>1559</v>
      </c>
      <c r="E113" s="625">
        <v>40</v>
      </c>
      <c r="F113" s="637" t="s">
        <v>1560</v>
      </c>
    </row>
    <row r="114" spans="1:6" ht="18" customHeight="1" x14ac:dyDescent="0.15">
      <c r="A114" s="2274"/>
      <c r="B114" s="2275"/>
      <c r="C114" s="2258"/>
      <c r="D114" s="2266" t="s">
        <v>1561</v>
      </c>
      <c r="E114" s="2269">
        <v>41</v>
      </c>
      <c r="F114" s="634" t="s">
        <v>1562</v>
      </c>
    </row>
    <row r="115" spans="1:6" ht="18" customHeight="1" x14ac:dyDescent="0.15">
      <c r="A115" s="2274"/>
      <c r="B115" s="2275"/>
      <c r="C115" s="2258"/>
      <c r="D115" s="2267"/>
      <c r="E115" s="2270"/>
      <c r="F115" s="638" t="s">
        <v>1563</v>
      </c>
    </row>
    <row r="116" spans="1:6" ht="18" customHeight="1" x14ac:dyDescent="0.15">
      <c r="A116" s="2274"/>
      <c r="B116" s="2275"/>
      <c r="C116" s="2258"/>
      <c r="D116" s="2267"/>
      <c r="E116" s="2270"/>
      <c r="F116" s="638" t="s">
        <v>1564</v>
      </c>
    </row>
    <row r="117" spans="1:6" ht="18" customHeight="1" x14ac:dyDescent="0.15">
      <c r="A117" s="2274"/>
      <c r="B117" s="2275"/>
      <c r="C117" s="2258"/>
      <c r="D117" s="2267"/>
      <c r="E117" s="2270"/>
      <c r="F117" s="638" t="s">
        <v>1565</v>
      </c>
    </row>
    <row r="118" spans="1:6" ht="18" customHeight="1" x14ac:dyDescent="0.15">
      <c r="A118" s="2274"/>
      <c r="B118" s="2275"/>
      <c r="C118" s="2259"/>
      <c r="D118" s="2268"/>
      <c r="E118" s="2271"/>
      <c r="F118" s="635" t="s">
        <v>1566</v>
      </c>
    </row>
    <row r="119" spans="1:6" ht="18" customHeight="1" x14ac:dyDescent="0.15">
      <c r="A119" s="2274"/>
      <c r="B119" s="2275"/>
      <c r="C119" s="2257" t="s">
        <v>1567</v>
      </c>
      <c r="D119" s="630" t="s">
        <v>1568</v>
      </c>
      <c r="E119" s="625">
        <v>42</v>
      </c>
      <c r="F119" s="627" t="s">
        <v>1569</v>
      </c>
    </row>
    <row r="120" spans="1:6" ht="18" customHeight="1" x14ac:dyDescent="0.15">
      <c r="A120" s="2274"/>
      <c r="B120" s="2275"/>
      <c r="C120" s="2258"/>
      <c r="D120" s="2266" t="s">
        <v>1570</v>
      </c>
      <c r="E120" s="2269">
        <v>43</v>
      </c>
      <c r="F120" s="634" t="s">
        <v>1571</v>
      </c>
    </row>
    <row r="121" spans="1:6" ht="18" customHeight="1" x14ac:dyDescent="0.15">
      <c r="A121" s="2274"/>
      <c r="B121" s="2275"/>
      <c r="C121" s="2258"/>
      <c r="D121" s="2267"/>
      <c r="E121" s="2270"/>
      <c r="F121" s="639" t="s">
        <v>1572</v>
      </c>
    </row>
    <row r="122" spans="1:6" ht="18" customHeight="1" x14ac:dyDescent="0.15">
      <c r="A122" s="2274"/>
      <c r="B122" s="2275"/>
      <c r="C122" s="2258"/>
      <c r="D122" s="2268"/>
      <c r="E122" s="2271"/>
      <c r="F122" s="635" t="s">
        <v>1573</v>
      </c>
    </row>
    <row r="123" spans="1:6" ht="18" customHeight="1" x14ac:dyDescent="0.15">
      <c r="A123" s="2274"/>
      <c r="B123" s="2275"/>
      <c r="C123" s="2258"/>
      <c r="D123" s="2266" t="s">
        <v>1574</v>
      </c>
      <c r="E123" s="2269">
        <v>44</v>
      </c>
      <c r="F123" s="634" t="s">
        <v>1575</v>
      </c>
    </row>
    <row r="124" spans="1:6" ht="18" customHeight="1" x14ac:dyDescent="0.15">
      <c r="A124" s="2274"/>
      <c r="B124" s="2275"/>
      <c r="C124" s="2258"/>
      <c r="D124" s="2267"/>
      <c r="E124" s="2270"/>
      <c r="F124" s="638" t="s">
        <v>1576</v>
      </c>
    </row>
    <row r="125" spans="1:6" ht="18" customHeight="1" x14ac:dyDescent="0.15">
      <c r="A125" s="2274"/>
      <c r="B125" s="2275"/>
      <c r="C125" s="2258"/>
      <c r="D125" s="2267"/>
      <c r="E125" s="2270"/>
      <c r="F125" s="638" t="s">
        <v>1577</v>
      </c>
    </row>
    <row r="126" spans="1:6" ht="18" customHeight="1" x14ac:dyDescent="0.15">
      <c r="A126" s="2274"/>
      <c r="B126" s="2275"/>
      <c r="C126" s="2258"/>
      <c r="D126" s="2267"/>
      <c r="E126" s="2270"/>
      <c r="F126" s="638" t="s">
        <v>1578</v>
      </c>
    </row>
    <row r="127" spans="1:6" ht="18" customHeight="1" x14ac:dyDescent="0.15">
      <c r="A127" s="2274"/>
      <c r="B127" s="2275"/>
      <c r="C127" s="2259"/>
      <c r="D127" s="2268"/>
      <c r="E127" s="2271"/>
      <c r="F127" s="635" t="s">
        <v>1579</v>
      </c>
    </row>
    <row r="128" spans="1:6" ht="18" customHeight="1" x14ac:dyDescent="0.15">
      <c r="A128" s="2274"/>
      <c r="B128" s="2275"/>
      <c r="C128" s="2257" t="s">
        <v>1547</v>
      </c>
      <c r="D128" s="2266" t="s">
        <v>1580</v>
      </c>
      <c r="E128" s="2269">
        <v>45</v>
      </c>
      <c r="F128" s="634" t="s">
        <v>1581</v>
      </c>
    </row>
    <row r="129" spans="1:6" ht="18" customHeight="1" x14ac:dyDescent="0.15">
      <c r="A129" s="2274"/>
      <c r="B129" s="2275"/>
      <c r="C129" s="2258"/>
      <c r="D129" s="2268"/>
      <c r="E129" s="2271"/>
      <c r="F129" s="637" t="s">
        <v>1582</v>
      </c>
    </row>
    <row r="130" spans="1:6" ht="18" customHeight="1" x14ac:dyDescent="0.15">
      <c r="A130" s="2274"/>
      <c r="B130" s="2275"/>
      <c r="C130" s="2258"/>
      <c r="D130" s="630" t="s">
        <v>1583</v>
      </c>
      <c r="E130" s="625">
        <v>46</v>
      </c>
      <c r="F130" s="627" t="s">
        <v>1584</v>
      </c>
    </row>
    <row r="131" spans="1:6" ht="18" customHeight="1" x14ac:dyDescent="0.15">
      <c r="A131" s="2274"/>
      <c r="B131" s="2275"/>
      <c r="C131" s="2258"/>
      <c r="D131" s="2266" t="s">
        <v>1585</v>
      </c>
      <c r="E131" s="2269">
        <v>47</v>
      </c>
      <c r="F131" s="634" t="s">
        <v>1586</v>
      </c>
    </row>
    <row r="132" spans="1:6" ht="18" customHeight="1" x14ac:dyDescent="0.15">
      <c r="A132" s="2274"/>
      <c r="B132" s="2275"/>
      <c r="C132" s="2258"/>
      <c r="D132" s="2267"/>
      <c r="E132" s="2270"/>
      <c r="F132" s="638" t="s">
        <v>1587</v>
      </c>
    </row>
    <row r="133" spans="1:6" ht="18" customHeight="1" x14ac:dyDescent="0.15">
      <c r="A133" s="2274"/>
      <c r="B133" s="2275"/>
      <c r="C133" s="2259"/>
      <c r="D133" s="2268"/>
      <c r="E133" s="2271"/>
      <c r="F133" s="635" t="s">
        <v>1588</v>
      </c>
    </row>
    <row r="134" spans="1:6" ht="18" customHeight="1" x14ac:dyDescent="0.15">
      <c r="A134" s="2274"/>
      <c r="B134" s="2275"/>
      <c r="C134" s="2257" t="s">
        <v>1550</v>
      </c>
      <c r="D134" s="630" t="s">
        <v>1589</v>
      </c>
      <c r="E134" s="625">
        <v>48</v>
      </c>
      <c r="F134" s="627" t="s">
        <v>1590</v>
      </c>
    </row>
    <row r="135" spans="1:6" ht="18" customHeight="1" x14ac:dyDescent="0.15">
      <c r="A135" s="2274"/>
      <c r="B135" s="2275"/>
      <c r="C135" s="2258"/>
      <c r="D135" s="2266" t="s">
        <v>1591</v>
      </c>
      <c r="E135" s="2269">
        <v>49</v>
      </c>
      <c r="F135" s="634" t="s">
        <v>1592</v>
      </c>
    </row>
    <row r="136" spans="1:6" ht="18" customHeight="1" x14ac:dyDescent="0.15">
      <c r="A136" s="2274"/>
      <c r="B136" s="2275"/>
      <c r="C136" s="2259"/>
      <c r="D136" s="2268"/>
      <c r="E136" s="2271"/>
      <c r="F136" s="635" t="s">
        <v>1593</v>
      </c>
    </row>
    <row r="137" spans="1:6" ht="18" customHeight="1" x14ac:dyDescent="0.15">
      <c r="A137" s="2274"/>
      <c r="B137" s="2275"/>
      <c r="C137" s="610" t="s">
        <v>1554</v>
      </c>
      <c r="D137" s="630" t="s">
        <v>1594</v>
      </c>
      <c r="E137" s="625">
        <v>50</v>
      </c>
      <c r="F137" s="627" t="s">
        <v>1595</v>
      </c>
    </row>
    <row r="138" spans="1:6" ht="18" customHeight="1" x14ac:dyDescent="0.15">
      <c r="A138" s="2274"/>
      <c r="B138" s="2281" t="s">
        <v>1596</v>
      </c>
      <c r="C138" s="2282"/>
      <c r="D138" s="2260" t="s">
        <v>1597</v>
      </c>
      <c r="E138" s="2269">
        <v>51</v>
      </c>
      <c r="F138" s="634" t="s">
        <v>1598</v>
      </c>
    </row>
    <row r="139" spans="1:6" ht="18" customHeight="1" x14ac:dyDescent="0.15">
      <c r="A139" s="2274"/>
      <c r="B139" s="2283"/>
      <c r="C139" s="2284"/>
      <c r="D139" s="2261"/>
      <c r="E139" s="2270"/>
      <c r="F139" s="638" t="s">
        <v>1599</v>
      </c>
    </row>
    <row r="140" spans="1:6" ht="18" customHeight="1" x14ac:dyDescent="0.15">
      <c r="A140" s="2274"/>
      <c r="B140" s="2283"/>
      <c r="C140" s="2284"/>
      <c r="D140" s="2261"/>
      <c r="E140" s="2270"/>
      <c r="F140" s="638" t="s">
        <v>1600</v>
      </c>
    </row>
    <row r="141" spans="1:6" ht="18" customHeight="1" x14ac:dyDescent="0.15">
      <c r="A141" s="2274"/>
      <c r="B141" s="2283"/>
      <c r="C141" s="2284"/>
      <c r="D141" s="2261"/>
      <c r="E141" s="2270"/>
      <c r="F141" s="638" t="s">
        <v>1601</v>
      </c>
    </row>
    <row r="142" spans="1:6" ht="18" customHeight="1" x14ac:dyDescent="0.15">
      <c r="A142" s="2274"/>
      <c r="B142" s="2283"/>
      <c r="C142" s="2284"/>
      <c r="D142" s="2261"/>
      <c r="E142" s="2270"/>
      <c r="F142" s="638" t="s">
        <v>1602</v>
      </c>
    </row>
    <row r="143" spans="1:6" ht="18" customHeight="1" x14ac:dyDescent="0.15">
      <c r="A143" s="2274"/>
      <c r="B143" s="2285"/>
      <c r="C143" s="2286"/>
      <c r="D143" s="2262"/>
      <c r="E143" s="2271"/>
      <c r="F143" s="635" t="s">
        <v>1603</v>
      </c>
    </row>
    <row r="144" spans="1:6" ht="15" customHeight="1" x14ac:dyDescent="0.15">
      <c r="B144" s="595"/>
      <c r="C144" s="595"/>
      <c r="D144" s="628"/>
      <c r="E144" s="629"/>
    </row>
    <row r="145" spans="1:6" ht="19.5" customHeight="1" x14ac:dyDescent="0.15">
      <c r="A145" s="602" t="s">
        <v>1604</v>
      </c>
      <c r="C145" s="640"/>
      <c r="D145" s="628"/>
      <c r="E145" s="629"/>
    </row>
    <row r="146" spans="1:6" ht="19.5" customHeight="1" x14ac:dyDescent="0.15">
      <c r="A146" s="641" t="s">
        <v>1391</v>
      </c>
      <c r="B146" s="2272" t="s">
        <v>1404</v>
      </c>
      <c r="C146" s="2273"/>
      <c r="D146" s="606" t="s">
        <v>1393</v>
      </c>
      <c r="E146" s="607" t="s">
        <v>1405</v>
      </c>
      <c r="F146" s="641" t="s">
        <v>1406</v>
      </c>
    </row>
    <row r="147" spans="1:6" ht="18" customHeight="1" x14ac:dyDescent="0.15">
      <c r="A147" s="2274" t="s">
        <v>1475</v>
      </c>
      <c r="B147" s="2275" t="s">
        <v>1605</v>
      </c>
      <c r="C147" s="2275"/>
      <c r="D147" s="596" t="s">
        <v>1606</v>
      </c>
      <c r="E147" s="625">
        <v>52</v>
      </c>
      <c r="F147" s="627" t="s">
        <v>1607</v>
      </c>
    </row>
    <row r="148" spans="1:6" ht="18" customHeight="1" x14ac:dyDescent="0.15">
      <c r="A148" s="2274"/>
      <c r="B148" s="2275"/>
      <c r="C148" s="2275"/>
      <c r="D148" s="596" t="s">
        <v>1608</v>
      </c>
      <c r="E148" s="625">
        <v>53</v>
      </c>
      <c r="F148" s="627" t="s">
        <v>1609</v>
      </c>
    </row>
    <row r="149" spans="1:6" ht="18" customHeight="1" x14ac:dyDescent="0.15">
      <c r="A149" s="2274"/>
      <c r="B149" s="2275"/>
      <c r="C149" s="2275"/>
      <c r="D149" s="596" t="s">
        <v>1610</v>
      </c>
      <c r="E149" s="625">
        <v>54</v>
      </c>
      <c r="F149" s="627" t="s">
        <v>1611</v>
      </c>
    </row>
    <row r="150" spans="1:6" ht="18" customHeight="1" x14ac:dyDescent="0.15">
      <c r="A150" s="2274"/>
      <c r="B150" s="2275"/>
      <c r="C150" s="2275"/>
      <c r="D150" s="596" t="s">
        <v>1612</v>
      </c>
      <c r="E150" s="625">
        <v>55</v>
      </c>
      <c r="F150" s="627" t="s">
        <v>1613</v>
      </c>
    </row>
    <row r="151" spans="1:6" ht="18" customHeight="1" x14ac:dyDescent="0.15">
      <c r="A151" s="2274"/>
      <c r="B151" s="2275"/>
      <c r="C151" s="2275"/>
      <c r="D151" s="596" t="s">
        <v>1614</v>
      </c>
      <c r="E151" s="625">
        <v>56</v>
      </c>
      <c r="F151" s="627" t="s">
        <v>1615</v>
      </c>
    </row>
    <row r="152" spans="1:6" ht="18" customHeight="1" x14ac:dyDescent="0.15">
      <c r="A152" s="2274"/>
      <c r="B152" s="2275"/>
      <c r="C152" s="2275"/>
      <c r="D152" s="596" t="s">
        <v>1616</v>
      </c>
      <c r="E152" s="625">
        <v>57</v>
      </c>
      <c r="F152" s="627" t="s">
        <v>1617</v>
      </c>
    </row>
    <row r="153" spans="1:6" ht="38.25" customHeight="1" x14ac:dyDescent="0.15">
      <c r="A153" s="2274"/>
      <c r="B153" s="2275"/>
      <c r="C153" s="2275"/>
      <c r="D153" s="596" t="s">
        <v>1618</v>
      </c>
      <c r="E153" s="625">
        <v>58</v>
      </c>
      <c r="F153" s="627" t="s">
        <v>1619</v>
      </c>
    </row>
    <row r="154" spans="1:6" ht="18" customHeight="1" x14ac:dyDescent="0.15">
      <c r="A154" s="2274"/>
      <c r="B154" s="2275"/>
      <c r="C154" s="2275"/>
      <c r="D154" s="596" t="s">
        <v>1620</v>
      </c>
      <c r="E154" s="625">
        <v>59</v>
      </c>
      <c r="F154" s="627" t="s">
        <v>1620</v>
      </c>
    </row>
    <row r="155" spans="1:6" ht="18" customHeight="1" x14ac:dyDescent="0.15">
      <c r="A155" s="2274"/>
      <c r="B155" s="2275"/>
      <c r="C155" s="2275"/>
      <c r="D155" s="596" t="s">
        <v>1621</v>
      </c>
      <c r="E155" s="625">
        <v>60</v>
      </c>
      <c r="F155" s="627" t="s">
        <v>1598</v>
      </c>
    </row>
    <row r="156" spans="1:6" ht="15" customHeight="1" x14ac:dyDescent="0.15">
      <c r="B156" s="595"/>
      <c r="C156" s="595"/>
      <c r="D156" s="628"/>
      <c r="E156" s="629"/>
    </row>
    <row r="157" spans="1:6" ht="19.5" customHeight="1" x14ac:dyDescent="0.15">
      <c r="A157" s="600" t="s">
        <v>1622</v>
      </c>
      <c r="C157" s="595"/>
      <c r="D157" s="628"/>
      <c r="E157" s="629"/>
    </row>
    <row r="158" spans="1:6" ht="8.25" customHeight="1" x14ac:dyDescent="0.15">
      <c r="B158" s="595"/>
      <c r="C158" s="595"/>
      <c r="D158" s="628"/>
      <c r="E158" s="629"/>
    </row>
    <row r="159" spans="1:6" ht="19.5" customHeight="1" x14ac:dyDescent="0.15">
      <c r="A159" s="2276" t="s">
        <v>1391</v>
      </c>
      <c r="B159" s="2277" t="s">
        <v>1404</v>
      </c>
      <c r="C159" s="2278"/>
      <c r="D159" s="2279" t="s">
        <v>1538</v>
      </c>
      <c r="E159" s="2287" t="s">
        <v>1405</v>
      </c>
      <c r="F159" s="2251" t="s">
        <v>1406</v>
      </c>
    </row>
    <row r="160" spans="1:6" ht="19.5" customHeight="1" x14ac:dyDescent="0.15">
      <c r="A160" s="2276"/>
      <c r="B160" s="633"/>
      <c r="C160" s="606" t="s">
        <v>1539</v>
      </c>
      <c r="D160" s="2280"/>
      <c r="E160" s="2288"/>
      <c r="F160" s="2252"/>
    </row>
    <row r="161" spans="1:6" ht="19.5" customHeight="1" x14ac:dyDescent="0.15">
      <c r="A161" s="2253" t="s">
        <v>1623</v>
      </c>
      <c r="B161" s="2254" t="s">
        <v>1418</v>
      </c>
      <c r="C161" s="2257" t="s">
        <v>0</v>
      </c>
      <c r="D161" s="2260" t="s">
        <v>1187</v>
      </c>
      <c r="E161" s="2263">
        <v>61</v>
      </c>
      <c r="F161" s="634" t="s">
        <v>1624</v>
      </c>
    </row>
    <row r="162" spans="1:6" ht="19.5" customHeight="1" x14ac:dyDescent="0.15">
      <c r="A162" s="2253"/>
      <c r="B162" s="2255"/>
      <c r="C162" s="2258"/>
      <c r="D162" s="2261"/>
      <c r="E162" s="2264"/>
      <c r="F162" s="638" t="s">
        <v>1625</v>
      </c>
    </row>
    <row r="163" spans="1:6" ht="19.5" customHeight="1" x14ac:dyDescent="0.15">
      <c r="A163" s="2253"/>
      <c r="B163" s="2255"/>
      <c r="C163" s="2258"/>
      <c r="D163" s="2261"/>
      <c r="E163" s="2264"/>
      <c r="F163" s="638" t="s">
        <v>1626</v>
      </c>
    </row>
    <row r="164" spans="1:6" ht="19.5" customHeight="1" x14ac:dyDescent="0.15">
      <c r="A164" s="2253"/>
      <c r="B164" s="2255"/>
      <c r="C164" s="2258"/>
      <c r="D164" s="2261"/>
      <c r="E164" s="2264"/>
      <c r="F164" s="638" t="s">
        <v>1627</v>
      </c>
    </row>
    <row r="165" spans="1:6" ht="19.5" customHeight="1" x14ac:dyDescent="0.15">
      <c r="A165" s="2253"/>
      <c r="B165" s="2255"/>
      <c r="C165" s="2258"/>
      <c r="D165" s="2261"/>
      <c r="E165" s="2264"/>
      <c r="F165" s="639" t="s">
        <v>1628</v>
      </c>
    </row>
    <row r="166" spans="1:6" ht="19.5" customHeight="1" x14ac:dyDescent="0.15">
      <c r="A166" s="2253"/>
      <c r="B166" s="2255"/>
      <c r="C166" s="2258"/>
      <c r="D166" s="2261"/>
      <c r="E166" s="2264"/>
      <c r="F166" s="638" t="s">
        <v>1629</v>
      </c>
    </row>
    <row r="167" spans="1:6" ht="19.5" customHeight="1" x14ac:dyDescent="0.15">
      <c r="A167" s="2253"/>
      <c r="B167" s="2255"/>
      <c r="C167" s="2258"/>
      <c r="D167" s="2262"/>
      <c r="E167" s="2265"/>
      <c r="F167" s="635" t="s">
        <v>1630</v>
      </c>
    </row>
    <row r="168" spans="1:6" ht="19.5" customHeight="1" x14ac:dyDescent="0.15">
      <c r="A168" s="2253"/>
      <c r="B168" s="2255"/>
      <c r="C168" s="2258"/>
      <c r="D168" s="2266" t="s">
        <v>1631</v>
      </c>
      <c r="E168" s="2263">
        <v>62</v>
      </c>
      <c r="F168" s="634" t="s">
        <v>1632</v>
      </c>
    </row>
    <row r="169" spans="1:6" ht="19.5" customHeight="1" x14ac:dyDescent="0.15">
      <c r="A169" s="2253"/>
      <c r="B169" s="2255"/>
      <c r="C169" s="2258"/>
      <c r="D169" s="2267"/>
      <c r="E169" s="2264"/>
      <c r="F169" s="642" t="s">
        <v>1633</v>
      </c>
    </row>
    <row r="170" spans="1:6" ht="19.5" customHeight="1" x14ac:dyDescent="0.15">
      <c r="A170" s="2253"/>
      <c r="B170" s="2255"/>
      <c r="C170" s="2258"/>
      <c r="D170" s="2267"/>
      <c r="E170" s="2264"/>
      <c r="F170" s="638" t="s">
        <v>1634</v>
      </c>
    </row>
    <row r="171" spans="1:6" ht="19.5" customHeight="1" x14ac:dyDescent="0.15">
      <c r="A171" s="2253"/>
      <c r="B171" s="2255"/>
      <c r="C171" s="2259"/>
      <c r="D171" s="2268"/>
      <c r="E171" s="2265"/>
      <c r="F171" s="635" t="s">
        <v>1635</v>
      </c>
    </row>
    <row r="172" spans="1:6" ht="19.5" customHeight="1" x14ac:dyDescent="0.15">
      <c r="A172" s="2253"/>
      <c r="B172" s="2255"/>
      <c r="C172" s="2257" t="s">
        <v>1</v>
      </c>
      <c r="D172" s="2260" t="s">
        <v>1186</v>
      </c>
      <c r="E172" s="2263">
        <v>63</v>
      </c>
      <c r="F172" s="634" t="s">
        <v>1636</v>
      </c>
    </row>
    <row r="173" spans="1:6" ht="19.5" customHeight="1" x14ac:dyDescent="0.15">
      <c r="A173" s="2253"/>
      <c r="B173" s="2255"/>
      <c r="C173" s="2258"/>
      <c r="D173" s="2261"/>
      <c r="E173" s="2264"/>
      <c r="F173" s="638" t="s">
        <v>1637</v>
      </c>
    </row>
    <row r="174" spans="1:6" ht="19.5" customHeight="1" x14ac:dyDescent="0.15">
      <c r="A174" s="2253"/>
      <c r="B174" s="2255"/>
      <c r="C174" s="2258"/>
      <c r="D174" s="2262"/>
      <c r="E174" s="2265"/>
      <c r="F174" s="637" t="s">
        <v>1638</v>
      </c>
    </row>
    <row r="175" spans="1:6" ht="19.5" customHeight="1" x14ac:dyDescent="0.15">
      <c r="A175" s="2253"/>
      <c r="B175" s="2255"/>
      <c r="C175" s="2258"/>
      <c r="D175" s="2260" t="s">
        <v>1639</v>
      </c>
      <c r="E175" s="2263">
        <v>64</v>
      </c>
      <c r="F175" s="636" t="s">
        <v>1640</v>
      </c>
    </row>
    <row r="176" spans="1:6" ht="19.5" customHeight="1" x14ac:dyDescent="0.15">
      <c r="A176" s="2253"/>
      <c r="B176" s="2255"/>
      <c r="C176" s="2258"/>
      <c r="D176" s="2261"/>
      <c r="E176" s="2264"/>
      <c r="F176" s="638" t="s">
        <v>1641</v>
      </c>
    </row>
    <row r="177" spans="1:6" ht="19.5" customHeight="1" x14ac:dyDescent="0.15">
      <c r="A177" s="2253"/>
      <c r="B177" s="2255"/>
      <c r="C177" s="2259"/>
      <c r="D177" s="2262"/>
      <c r="E177" s="2265"/>
      <c r="F177" s="635" t="s">
        <v>1642</v>
      </c>
    </row>
    <row r="178" spans="1:6" ht="19.5" customHeight="1" x14ac:dyDescent="0.15">
      <c r="A178" s="2253"/>
      <c r="B178" s="2255"/>
      <c r="C178" s="2257" t="s">
        <v>2</v>
      </c>
      <c r="D178" s="2260" t="s">
        <v>1643</v>
      </c>
      <c r="E178" s="2263">
        <v>65</v>
      </c>
      <c r="F178" s="634" t="s">
        <v>1644</v>
      </c>
    </row>
    <row r="179" spans="1:6" ht="19.5" customHeight="1" x14ac:dyDescent="0.15">
      <c r="A179" s="2253"/>
      <c r="B179" s="2255"/>
      <c r="C179" s="2258"/>
      <c r="D179" s="2261"/>
      <c r="E179" s="2264"/>
      <c r="F179" s="642" t="s">
        <v>1645</v>
      </c>
    </row>
    <row r="180" spans="1:6" ht="19.5" customHeight="1" x14ac:dyDescent="0.15">
      <c r="A180" s="2253"/>
      <c r="B180" s="2255"/>
      <c r="C180" s="2258"/>
      <c r="D180" s="2261"/>
      <c r="E180" s="2264"/>
      <c r="F180" s="638" t="s">
        <v>1646</v>
      </c>
    </row>
    <row r="181" spans="1:6" ht="19.5" customHeight="1" x14ac:dyDescent="0.15">
      <c r="A181" s="2253"/>
      <c r="B181" s="2255"/>
      <c r="C181" s="2258"/>
      <c r="D181" s="2261"/>
      <c r="E181" s="2264"/>
      <c r="F181" s="638" t="s">
        <v>1647</v>
      </c>
    </row>
    <row r="182" spans="1:6" ht="19.5" customHeight="1" x14ac:dyDescent="0.15">
      <c r="A182" s="2253"/>
      <c r="B182" s="2255"/>
      <c r="C182" s="2258"/>
      <c r="D182" s="2262"/>
      <c r="E182" s="2265"/>
      <c r="F182" s="635" t="s">
        <v>1630</v>
      </c>
    </row>
    <row r="183" spans="1:6" ht="19.5" customHeight="1" x14ac:dyDescent="0.15">
      <c r="A183" s="2253"/>
      <c r="B183" s="2255"/>
      <c r="C183" s="2258"/>
      <c r="D183" s="2260" t="s">
        <v>1648</v>
      </c>
      <c r="E183" s="2263">
        <v>66</v>
      </c>
      <c r="F183" s="634" t="s">
        <v>1649</v>
      </c>
    </row>
    <row r="184" spans="1:6" ht="19.5" customHeight="1" x14ac:dyDescent="0.15">
      <c r="A184" s="2253"/>
      <c r="B184" s="2256"/>
      <c r="C184" s="2259"/>
      <c r="D184" s="2262"/>
      <c r="E184" s="2265"/>
      <c r="F184" s="635" t="s">
        <v>1635</v>
      </c>
    </row>
    <row r="187" spans="1:6" ht="18.75" x14ac:dyDescent="0.15">
      <c r="A187" s="601" t="s">
        <v>1650</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56"/>
  <sheetViews>
    <sheetView showGridLines="0" showZeros="0" zoomScaleNormal="100" zoomScaleSheetLayoutView="70" workbookViewId="0">
      <selection activeCell="S8" sqref="S8"/>
    </sheetView>
  </sheetViews>
  <sheetFormatPr defaultColWidth="9" defaultRowHeight="16.5" x14ac:dyDescent="0.4"/>
  <cols>
    <col min="1" max="1" width="1.25" style="342" customWidth="1"/>
    <col min="2" max="2" width="6.375" style="342" customWidth="1"/>
    <col min="3" max="3" width="11.375" style="430" customWidth="1"/>
    <col min="4" max="4" width="16.625" style="342" customWidth="1"/>
    <col min="5" max="5" width="15.875" style="342" customWidth="1"/>
    <col min="6" max="6" width="7.25" style="342" customWidth="1"/>
    <col min="7" max="8" width="12.75" style="342" customWidth="1"/>
    <col min="9" max="9" width="14.875" style="342" customWidth="1"/>
    <col min="10" max="10" width="6.75" style="342" customWidth="1"/>
    <col min="11" max="11" width="9.875" style="342" customWidth="1"/>
    <col min="12" max="12" width="11.125" style="342" customWidth="1"/>
    <col min="13" max="13" width="8.25" style="342" customWidth="1"/>
    <col min="14" max="14" width="1.25" style="342" customWidth="1"/>
    <col min="15" max="15" width="9" style="342"/>
    <col min="16" max="19" width="16.25" style="342" customWidth="1"/>
    <col min="20" max="16384" width="9" style="342"/>
  </cols>
  <sheetData>
    <row r="1" spans="2:13" ht="19.5" x14ac:dyDescent="0.45">
      <c r="B1" s="429" t="s">
        <v>1270</v>
      </c>
    </row>
    <row r="2" spans="2:13" s="339" customFormat="1" ht="23.25" customHeight="1" x14ac:dyDescent="0.45">
      <c r="B2" s="337" t="s">
        <v>1271</v>
      </c>
      <c r="C2" s="431"/>
      <c r="D2" s="338"/>
      <c r="E2" s="338"/>
      <c r="F2" s="338"/>
      <c r="G2" s="338"/>
      <c r="H2" s="338"/>
      <c r="J2" s="340"/>
      <c r="M2" s="432" t="s">
        <v>1272</v>
      </c>
    </row>
    <row r="3" spans="2:13" s="339" customFormat="1" ht="18.75" customHeight="1" x14ac:dyDescent="0.15">
      <c r="D3" s="433"/>
      <c r="E3" s="434" t="s">
        <v>1273</v>
      </c>
      <c r="F3" s="341" t="s">
        <v>1274</v>
      </c>
      <c r="G3" s="341"/>
      <c r="H3" s="341"/>
      <c r="J3" s="340" t="s">
        <v>1168</v>
      </c>
      <c r="K3" s="2346"/>
      <c r="L3" s="2346"/>
      <c r="M3" s="2346"/>
    </row>
    <row r="4" spans="2:13" s="339" customFormat="1" ht="15" customHeight="1" x14ac:dyDescent="0.15">
      <c r="B4" s="2347" t="s">
        <v>1275</v>
      </c>
      <c r="C4" s="2347"/>
      <c r="D4" s="2347"/>
      <c r="E4" s="2347"/>
      <c r="F4" s="2347"/>
      <c r="G4" s="2347"/>
      <c r="H4" s="2347"/>
      <c r="I4" s="2347"/>
      <c r="J4" s="2347"/>
      <c r="K4" s="2347"/>
      <c r="L4" s="2347"/>
      <c r="M4" s="2347"/>
    </row>
    <row r="5" spans="2:13" s="339" customFormat="1" ht="27" customHeight="1" x14ac:dyDescent="0.15">
      <c r="B5" s="2230" t="s">
        <v>1276</v>
      </c>
      <c r="C5" s="2230"/>
      <c r="D5" s="2230"/>
      <c r="E5" s="2230"/>
      <c r="F5" s="2230"/>
      <c r="G5" s="2230"/>
      <c r="H5" s="2230"/>
      <c r="I5" s="2230"/>
      <c r="J5" s="2230"/>
      <c r="K5" s="2230"/>
      <c r="L5" s="2230"/>
      <c r="M5" s="2230"/>
    </row>
    <row r="6" spans="2:13" s="339" customFormat="1" ht="32.450000000000003" customHeight="1" x14ac:dyDescent="0.15">
      <c r="B6" s="2230" t="s">
        <v>1277</v>
      </c>
      <c r="C6" s="2230"/>
      <c r="D6" s="2230"/>
      <c r="E6" s="2230"/>
      <c r="F6" s="2230"/>
      <c r="G6" s="2230"/>
      <c r="H6" s="2230"/>
      <c r="I6" s="2230"/>
      <c r="J6" s="2230"/>
      <c r="K6" s="2230"/>
      <c r="L6" s="2230"/>
      <c r="M6" s="2230"/>
    </row>
    <row r="7" spans="2:13" s="339" customFormat="1" ht="28.5" customHeight="1" x14ac:dyDescent="0.15">
      <c r="B7" s="2230" t="s">
        <v>1278</v>
      </c>
      <c r="C7" s="2230"/>
      <c r="D7" s="2230"/>
      <c r="E7" s="2230"/>
      <c r="F7" s="2230"/>
      <c r="G7" s="2230"/>
      <c r="H7" s="2230"/>
      <c r="I7" s="2230"/>
      <c r="J7" s="2230"/>
      <c r="K7" s="2230"/>
      <c r="L7" s="2230"/>
      <c r="M7" s="2230"/>
    </row>
    <row r="8" spans="2:13" ht="36" customHeight="1" x14ac:dyDescent="0.4">
      <c r="B8" s="435" t="s">
        <v>1279</v>
      </c>
      <c r="C8" s="436" t="s">
        <v>1280</v>
      </c>
      <c r="D8" s="2348" t="s">
        <v>1170</v>
      </c>
      <c r="E8" s="2349"/>
      <c r="F8" s="437" t="s">
        <v>1154</v>
      </c>
      <c r="G8" s="438" t="s">
        <v>1281</v>
      </c>
      <c r="H8" s="436" t="s">
        <v>1173</v>
      </c>
      <c r="I8" s="439" t="s">
        <v>1174</v>
      </c>
      <c r="J8" s="440" t="s">
        <v>1282</v>
      </c>
      <c r="K8" s="441" t="s">
        <v>1283</v>
      </c>
      <c r="L8" s="442" t="s">
        <v>1095</v>
      </c>
      <c r="M8" s="443" t="s">
        <v>1284</v>
      </c>
    </row>
    <row r="9" spans="2:13" ht="19.5" customHeight="1" x14ac:dyDescent="0.4">
      <c r="B9" s="444"/>
      <c r="C9" s="445"/>
      <c r="D9" s="2350"/>
      <c r="E9" s="2351"/>
      <c r="F9" s="446"/>
      <c r="G9" s="447"/>
      <c r="H9" s="448"/>
      <c r="I9" s="449">
        <f>G9-H9</f>
        <v>0</v>
      </c>
      <c r="J9" s="450"/>
      <c r="K9" s="451"/>
      <c r="L9" s="452"/>
      <c r="M9" s="453"/>
    </row>
    <row r="10" spans="2:13" ht="19.5" customHeight="1" x14ac:dyDescent="0.4">
      <c r="B10" s="444"/>
      <c r="C10" s="445"/>
      <c r="D10" s="2330"/>
      <c r="E10" s="2331"/>
      <c r="F10" s="454"/>
      <c r="G10" s="455"/>
      <c r="H10" s="456"/>
      <c r="I10" s="449">
        <f t="shared" ref="I10:I27" ca="1" si="0">IF((OFFSET(I10,-1,0)+G10-H10)&gt;=0,OFFSET(I10,-1,0)+G10-H10,"")</f>
        <v>0</v>
      </c>
      <c r="J10" s="457"/>
      <c r="K10" s="458"/>
      <c r="L10" s="459"/>
      <c r="M10" s="453"/>
    </row>
    <row r="11" spans="2:13" ht="19.5" customHeight="1" x14ac:dyDescent="0.4">
      <c r="B11" s="460"/>
      <c r="C11" s="445"/>
      <c r="D11" s="2330"/>
      <c r="E11" s="2331"/>
      <c r="F11" s="461"/>
      <c r="G11" s="455"/>
      <c r="H11" s="456"/>
      <c r="I11" s="462">
        <f ca="1">IF((OFFSET(I11,-1,0)+G11-H11)&gt;=0,OFFSET(I11,-1,0)+G11-H11,"")</f>
        <v>0</v>
      </c>
      <c r="J11" s="457"/>
      <c r="K11" s="458"/>
      <c r="L11" s="459"/>
      <c r="M11" s="453"/>
    </row>
    <row r="12" spans="2:13" ht="19.5" customHeight="1" x14ac:dyDescent="0.4">
      <c r="B12" s="460"/>
      <c r="C12" s="445"/>
      <c r="D12" s="2330"/>
      <c r="E12" s="2331"/>
      <c r="F12" s="454"/>
      <c r="G12" s="455"/>
      <c r="H12" s="456"/>
      <c r="I12" s="449">
        <f ca="1">IF((OFFSET(I12,-1,0)+G12-H12)&gt;=0,OFFSET(I12,-1,0)+G12-H12,"")</f>
        <v>0</v>
      </c>
      <c r="J12" s="457"/>
      <c r="K12" s="458"/>
      <c r="L12" s="459"/>
      <c r="M12" s="453"/>
    </row>
    <row r="13" spans="2:13" ht="19.5" customHeight="1" x14ac:dyDescent="0.4">
      <c r="B13" s="460"/>
      <c r="C13" s="445"/>
      <c r="D13" s="2330"/>
      <c r="E13" s="2331"/>
      <c r="F13" s="454"/>
      <c r="G13" s="447"/>
      <c r="H13" s="448"/>
      <c r="I13" s="449">
        <f t="shared" ca="1" si="0"/>
        <v>0</v>
      </c>
      <c r="J13" s="457"/>
      <c r="K13" s="458"/>
      <c r="L13" s="459"/>
      <c r="M13" s="453"/>
    </row>
    <row r="14" spans="2:13" ht="19.5" customHeight="1" x14ac:dyDescent="0.4">
      <c r="B14" s="460"/>
      <c r="C14" s="445"/>
      <c r="D14" s="2330"/>
      <c r="E14" s="2331"/>
      <c r="F14" s="454"/>
      <c r="G14" s="455"/>
      <c r="H14" s="456"/>
      <c r="I14" s="449">
        <f t="shared" ca="1" si="0"/>
        <v>0</v>
      </c>
      <c r="J14" s="457"/>
      <c r="K14" s="458"/>
      <c r="L14" s="459"/>
      <c r="M14" s="453"/>
    </row>
    <row r="15" spans="2:13" ht="19.5" customHeight="1" x14ac:dyDescent="0.4">
      <c r="B15" s="463"/>
      <c r="C15" s="464"/>
      <c r="D15" s="2342"/>
      <c r="E15" s="2343"/>
      <c r="F15" s="465"/>
      <c r="G15" s="466"/>
      <c r="H15" s="467"/>
      <c r="I15" s="468">
        <f ca="1">IF((OFFSET(I15,-1,0)+G15-H15)&gt;=0,OFFSET(I15,-1,0)+G15-H15,"")</f>
        <v>0</v>
      </c>
      <c r="J15" s="469"/>
      <c r="K15" s="470"/>
      <c r="L15" s="471"/>
      <c r="M15" s="453"/>
    </row>
    <row r="16" spans="2:13" ht="19.5" customHeight="1" x14ac:dyDescent="0.4">
      <c r="B16" s="460"/>
      <c r="C16" s="445"/>
      <c r="D16" s="2344"/>
      <c r="E16" s="2345"/>
      <c r="F16" s="454"/>
      <c r="G16" s="455"/>
      <c r="H16" s="456"/>
      <c r="I16" s="449">
        <f t="shared" ca="1" si="0"/>
        <v>0</v>
      </c>
      <c r="J16" s="457"/>
      <c r="K16" s="458"/>
      <c r="L16" s="459"/>
      <c r="M16" s="453"/>
    </row>
    <row r="17" spans="1:15" ht="19.5" customHeight="1" x14ac:dyDescent="0.4">
      <c r="B17" s="460"/>
      <c r="C17" s="445"/>
      <c r="D17" s="2330"/>
      <c r="E17" s="2331"/>
      <c r="F17" s="454"/>
      <c r="G17" s="455"/>
      <c r="H17" s="456"/>
      <c r="I17" s="449">
        <f t="shared" ca="1" si="0"/>
        <v>0</v>
      </c>
      <c r="J17" s="457"/>
      <c r="K17" s="458"/>
      <c r="L17" s="459"/>
      <c r="M17" s="453"/>
    </row>
    <row r="18" spans="1:15" ht="19.5" customHeight="1" x14ac:dyDescent="0.4">
      <c r="B18" s="460"/>
      <c r="C18" s="445"/>
      <c r="D18" s="2330"/>
      <c r="E18" s="2331"/>
      <c r="F18" s="454"/>
      <c r="G18" s="455"/>
      <c r="H18" s="456"/>
      <c r="I18" s="449">
        <f ca="1">IF((OFFSET(I18,-1,0)+G18-H18)&gt;=0,OFFSET(I18,-1,0)+G18-H18,"")</f>
        <v>0</v>
      </c>
      <c r="J18" s="457"/>
      <c r="K18" s="458"/>
      <c r="L18" s="459"/>
      <c r="M18" s="453"/>
    </row>
    <row r="19" spans="1:15" ht="19.5" customHeight="1" x14ac:dyDescent="0.4">
      <c r="B19" s="460"/>
      <c r="C19" s="445"/>
      <c r="D19" s="2330"/>
      <c r="E19" s="2331"/>
      <c r="F19" s="454"/>
      <c r="G19" s="455"/>
      <c r="H19" s="456"/>
      <c r="I19" s="449">
        <f t="shared" ca="1" si="0"/>
        <v>0</v>
      </c>
      <c r="J19" s="457"/>
      <c r="K19" s="458"/>
      <c r="L19" s="459"/>
      <c r="M19" s="453"/>
    </row>
    <row r="20" spans="1:15" ht="19.5" customHeight="1" x14ac:dyDescent="0.4">
      <c r="B20" s="460"/>
      <c r="C20" s="445"/>
      <c r="D20" s="2330"/>
      <c r="E20" s="2331"/>
      <c r="F20" s="454"/>
      <c r="G20" s="455"/>
      <c r="H20" s="456"/>
      <c r="I20" s="449">
        <f t="shared" ca="1" si="0"/>
        <v>0</v>
      </c>
      <c r="J20" s="457"/>
      <c r="K20" s="458"/>
      <c r="L20" s="459"/>
      <c r="M20" s="453"/>
    </row>
    <row r="21" spans="1:15" ht="19.5" customHeight="1" x14ac:dyDescent="0.4">
      <c r="B21" s="460"/>
      <c r="C21" s="445"/>
      <c r="D21" s="2330"/>
      <c r="E21" s="2331"/>
      <c r="F21" s="454"/>
      <c r="G21" s="455"/>
      <c r="H21" s="456"/>
      <c r="I21" s="449">
        <f ca="1">IF((OFFSET(I21,-1,0)+G21-H21)&gt;=0,OFFSET(I21,-1,0)+G21-H21,"")</f>
        <v>0</v>
      </c>
      <c r="J21" s="457"/>
      <c r="K21" s="458"/>
      <c r="L21" s="459"/>
      <c r="M21" s="453"/>
    </row>
    <row r="22" spans="1:15" ht="19.5" customHeight="1" x14ac:dyDescent="0.4">
      <c r="B22" s="460"/>
      <c r="C22" s="445"/>
      <c r="D22" s="2330"/>
      <c r="E22" s="2331"/>
      <c r="F22" s="454"/>
      <c r="G22" s="455"/>
      <c r="H22" s="456"/>
      <c r="I22" s="449">
        <f ca="1">IF((OFFSET(I22,-1,0)+G22-H22)&gt;=0,OFFSET(I22,-1,0)+G22-H22,"")</f>
        <v>0</v>
      </c>
      <c r="J22" s="457"/>
      <c r="K22" s="458"/>
      <c r="L22" s="459"/>
      <c r="M22" s="453"/>
    </row>
    <row r="23" spans="1:15" ht="19.5" customHeight="1" x14ac:dyDescent="0.4">
      <c r="B23" s="460"/>
      <c r="C23" s="445"/>
      <c r="D23" s="2330"/>
      <c r="E23" s="2331"/>
      <c r="F23" s="454"/>
      <c r="G23" s="455"/>
      <c r="H23" s="456"/>
      <c r="I23" s="449">
        <f ca="1">IF((OFFSET(I23,-1,0)+G23-H23)&gt;=0,OFFSET(I23,-1,0)+G23-H23,"")</f>
        <v>0</v>
      </c>
      <c r="J23" s="457"/>
      <c r="K23" s="458"/>
      <c r="L23" s="459"/>
      <c r="M23" s="453"/>
    </row>
    <row r="24" spans="1:15" ht="19.5" customHeight="1" x14ac:dyDescent="0.4">
      <c r="B24" s="460"/>
      <c r="C24" s="445"/>
      <c r="D24" s="2330"/>
      <c r="E24" s="2331"/>
      <c r="F24" s="454"/>
      <c r="G24" s="455"/>
      <c r="H24" s="456"/>
      <c r="I24" s="449">
        <f ca="1">IF((OFFSET(I24,-1,0)+G24-H24)&gt;=0,OFFSET(I24,-1,0)+G24-H24,"")</f>
        <v>0</v>
      </c>
      <c r="J24" s="457"/>
      <c r="K24" s="458"/>
      <c r="L24" s="459"/>
      <c r="M24" s="453"/>
    </row>
    <row r="25" spans="1:15" ht="19.5" customHeight="1" x14ac:dyDescent="0.4">
      <c r="B25" s="460"/>
      <c r="C25" s="445"/>
      <c r="D25" s="2330"/>
      <c r="E25" s="2331"/>
      <c r="F25" s="454"/>
      <c r="G25" s="455"/>
      <c r="H25" s="456"/>
      <c r="I25" s="449">
        <f t="shared" ca="1" si="0"/>
        <v>0</v>
      </c>
      <c r="J25" s="457"/>
      <c r="K25" s="458"/>
      <c r="L25" s="459"/>
      <c r="M25" s="453"/>
    </row>
    <row r="26" spans="1:15" ht="19.5" customHeight="1" x14ac:dyDescent="0.4">
      <c r="B26" s="460"/>
      <c r="C26" s="445"/>
      <c r="D26" s="2330"/>
      <c r="E26" s="2331"/>
      <c r="F26" s="454"/>
      <c r="G26" s="455"/>
      <c r="H26" s="456"/>
      <c r="I26" s="449">
        <f t="shared" ca="1" si="0"/>
        <v>0</v>
      </c>
      <c r="J26" s="457"/>
      <c r="K26" s="458"/>
      <c r="L26" s="459"/>
      <c r="M26" s="453"/>
    </row>
    <row r="27" spans="1:15" ht="19.5" customHeight="1" x14ac:dyDescent="0.4">
      <c r="B27" s="460"/>
      <c r="C27" s="445"/>
      <c r="D27" s="2330"/>
      <c r="E27" s="2331"/>
      <c r="F27" s="454"/>
      <c r="G27" s="455"/>
      <c r="H27" s="456"/>
      <c r="I27" s="449">
        <f t="shared" ca="1" si="0"/>
        <v>0</v>
      </c>
      <c r="J27" s="457"/>
      <c r="K27" s="458"/>
      <c r="L27" s="459"/>
      <c r="M27" s="453"/>
    </row>
    <row r="28" spans="1:15" ht="16.5" customHeight="1" thickBot="1" x14ac:dyDescent="0.45">
      <c r="B28" s="472"/>
      <c r="C28" s="473"/>
      <c r="D28" s="474" t="s">
        <v>1285</v>
      </c>
      <c r="E28" s="475"/>
      <c r="F28" s="476"/>
      <c r="G28" s="477"/>
      <c r="H28" s="478"/>
      <c r="I28" s="479"/>
      <c r="J28" s="480"/>
      <c r="K28" s="481"/>
      <c r="L28" s="482"/>
      <c r="M28" s="483"/>
    </row>
    <row r="29" spans="1:15" ht="19.5" customHeight="1" thickTop="1" x14ac:dyDescent="0.4">
      <c r="B29" s="2332" t="s">
        <v>1232</v>
      </c>
      <c r="C29" s="2333"/>
      <c r="D29" s="2333"/>
      <c r="E29" s="2333"/>
      <c r="F29" s="2334"/>
      <c r="G29" s="484" t="str">
        <f ca="1">IF(SUM(G9:OFFSET(G29,-1,0))&gt;0,SUM(G9:OFFSET(G29,-1,0)),"")</f>
        <v/>
      </c>
      <c r="H29" s="485" t="str">
        <f ca="1">IF(SUM(H9:OFFSET(H29,-1,0))&gt;0,SUM(H9:OFFSET(H29,-1,0)),"")</f>
        <v/>
      </c>
      <c r="I29" s="486" t="str">
        <f ca="1">IFERROR(SUM(G29-H29),"")</f>
        <v/>
      </c>
      <c r="J29" s="487"/>
      <c r="K29" s="488"/>
      <c r="L29" s="489"/>
      <c r="M29" s="490"/>
    </row>
    <row r="30" spans="1:15" ht="18.75" customHeight="1" x14ac:dyDescent="0.4">
      <c r="B30" s="348" t="s">
        <v>1207</v>
      </c>
      <c r="C30" s="491"/>
      <c r="D30" s="349"/>
      <c r="E30" s="349"/>
      <c r="F30" s="350"/>
      <c r="G30" s="350"/>
      <c r="H30" s="351"/>
      <c r="I30" s="352"/>
      <c r="J30" s="352"/>
      <c r="K30" s="352"/>
    </row>
    <row r="31" spans="1:15" ht="14.25" customHeight="1" x14ac:dyDescent="0.4">
      <c r="B31" s="353"/>
      <c r="C31" s="353"/>
      <c r="D31" s="353"/>
      <c r="E31" s="353"/>
      <c r="F31" s="353"/>
      <c r="G31" s="353"/>
      <c r="H31" s="353"/>
      <c r="I31" s="353"/>
      <c r="J31" s="353"/>
      <c r="K31" s="353"/>
    </row>
    <row r="32" spans="1:15" s="361" customFormat="1" ht="19.5" customHeight="1" x14ac:dyDescent="0.45">
      <c r="A32" s="360"/>
      <c r="B32" s="492" t="s">
        <v>1221</v>
      </c>
      <c r="C32" s="493">
        <v>1</v>
      </c>
      <c r="D32" s="2335" t="s">
        <v>1286</v>
      </c>
      <c r="E32" s="2335"/>
      <c r="F32" s="342"/>
      <c r="G32" s="354" t="s">
        <v>1221</v>
      </c>
      <c r="H32" s="494">
        <v>2</v>
      </c>
      <c r="I32" s="495" t="s">
        <v>1287</v>
      </c>
      <c r="J32" s="342"/>
      <c r="K32" s="496" t="s">
        <v>1288</v>
      </c>
      <c r="L32" s="406"/>
      <c r="N32" s="360"/>
      <c r="O32" s="497"/>
    </row>
    <row r="33" spans="1:15" s="361" customFormat="1" ht="19.5" customHeight="1" x14ac:dyDescent="0.45">
      <c r="A33" s="360"/>
      <c r="B33" s="2336" t="s">
        <v>1222</v>
      </c>
      <c r="C33" s="2336"/>
      <c r="D33" s="2337" t="s">
        <v>1210</v>
      </c>
      <c r="E33" s="2338"/>
      <c r="F33" s="498"/>
      <c r="G33" s="2336" t="s">
        <v>1222</v>
      </c>
      <c r="H33" s="2336"/>
      <c r="I33" s="2337" t="s">
        <v>1210</v>
      </c>
      <c r="J33" s="2339"/>
      <c r="K33" s="2338"/>
      <c r="L33" s="398"/>
      <c r="N33" s="360"/>
    </row>
    <row r="34" spans="1:15" s="361" customFormat="1" ht="19.5" customHeight="1" x14ac:dyDescent="0.45">
      <c r="A34" s="360"/>
      <c r="B34" s="2336"/>
      <c r="C34" s="2336"/>
      <c r="D34" s="499" t="s">
        <v>1228</v>
      </c>
      <c r="E34" s="500" t="s">
        <v>1227</v>
      </c>
      <c r="F34" s="498"/>
      <c r="G34" s="2336"/>
      <c r="H34" s="2336"/>
      <c r="I34" s="499" t="s">
        <v>1228</v>
      </c>
      <c r="J34" s="2340" t="s">
        <v>1227</v>
      </c>
      <c r="K34" s="2341"/>
      <c r="L34" s="398"/>
      <c r="N34" s="360"/>
    </row>
    <row r="35" spans="1:15" s="361" customFormat="1" ht="19.5" customHeight="1" x14ac:dyDescent="0.45">
      <c r="A35" s="360"/>
      <c r="B35" s="2325" t="s">
        <v>1289</v>
      </c>
      <c r="C35" s="2325"/>
      <c r="D35" s="501">
        <f>SUMIFS($G$9:$G$28,$C$9:$C$28,B35,$F$9:$F$28,$C$32)</f>
        <v>0</v>
      </c>
      <c r="E35" s="502"/>
      <c r="F35" s="498"/>
      <c r="G35" s="2325" t="s">
        <v>1289</v>
      </c>
      <c r="H35" s="2325"/>
      <c r="I35" s="501">
        <f>SUMIFS($G$9:$G$28,$C$9:$C$28,G35,$F$9:$F$28,$H$32)</f>
        <v>0</v>
      </c>
      <c r="J35" s="2328"/>
      <c r="K35" s="2329"/>
      <c r="L35" s="398"/>
      <c r="N35" s="360"/>
    </row>
    <row r="36" spans="1:15" s="361" customFormat="1" ht="19.5" customHeight="1" x14ac:dyDescent="0.45">
      <c r="A36" s="360"/>
      <c r="B36" s="2325" t="s">
        <v>1290</v>
      </c>
      <c r="C36" s="2325"/>
      <c r="D36" s="503">
        <f>SUMIFS($G$9:$G$28,$C$9:$C$28,B36,$F$9:$F$28,$C$32)</f>
        <v>0</v>
      </c>
      <c r="E36" s="502"/>
      <c r="F36" s="498"/>
      <c r="G36" s="2325" t="s">
        <v>1290</v>
      </c>
      <c r="H36" s="2325"/>
      <c r="I36" s="503">
        <f>SUMIFS($G$9:$G$28,$C$9:$C$28,G36,$F$9:$F$28,$H$32)</f>
        <v>0</v>
      </c>
      <c r="J36" s="2328"/>
      <c r="K36" s="2329"/>
      <c r="L36" s="398"/>
      <c r="N36" s="360"/>
    </row>
    <row r="37" spans="1:15" s="361" customFormat="1" ht="19.5" customHeight="1" x14ac:dyDescent="0.45">
      <c r="A37" s="360"/>
      <c r="B37" s="2325" t="s">
        <v>1291</v>
      </c>
      <c r="C37" s="2325"/>
      <c r="D37" s="503">
        <f>SUMIFS($G$9:$G$28,$C$9:$C$28,B37,$F$9:$F$28,$C$32)</f>
        <v>0</v>
      </c>
      <c r="E37" s="502"/>
      <c r="F37" s="498"/>
      <c r="G37" s="2325" t="s">
        <v>1291</v>
      </c>
      <c r="H37" s="2325"/>
      <c r="I37" s="503">
        <f>SUMIFS($G$9:$G$28,$C$9:$C$28,G37,$F$9:$F$28,$H$32)</f>
        <v>0</v>
      </c>
      <c r="J37" s="2328"/>
      <c r="K37" s="2329"/>
      <c r="L37" s="398"/>
      <c r="N37" s="360"/>
    </row>
    <row r="38" spans="1:15" s="361" customFormat="1" ht="19.5" customHeight="1" x14ac:dyDescent="0.45">
      <c r="A38" s="360"/>
      <c r="B38" s="2325" t="s">
        <v>1292</v>
      </c>
      <c r="C38" s="2325"/>
      <c r="D38" s="504"/>
      <c r="E38" s="505">
        <f>SUMIFS($H$9:$H$28,$C$9:$C$28,B38,$F$9:$F$28,$C$32)</f>
        <v>0</v>
      </c>
      <c r="F38" s="498"/>
      <c r="G38" s="2325" t="s">
        <v>1292</v>
      </c>
      <c r="H38" s="2325"/>
      <c r="I38" s="504"/>
      <c r="J38" s="2326">
        <f>SUMIFS($H$9:$H$28,$C$9:$C$28,G38,$F$9:$F$28,$H$32)</f>
        <v>0</v>
      </c>
      <c r="K38" s="2327">
        <f>SUMIF($C$9:$C$27,H38,$H$9:$H$27)</f>
        <v>0</v>
      </c>
      <c r="L38" s="398"/>
      <c r="N38" s="360"/>
    </row>
    <row r="39" spans="1:15" s="361" customFormat="1" ht="19.5" customHeight="1" x14ac:dyDescent="0.45">
      <c r="A39" s="360"/>
      <c r="B39" s="2325" t="s">
        <v>1293</v>
      </c>
      <c r="C39" s="2325"/>
      <c r="D39" s="504"/>
      <c r="E39" s="505">
        <f>SUMIFS($H$9:$H$28,$C$9:$C$28,B39,$F$9:$F$28,$C$32)</f>
        <v>0</v>
      </c>
      <c r="F39" s="498"/>
      <c r="G39" s="2325" t="s">
        <v>1293</v>
      </c>
      <c r="H39" s="2325"/>
      <c r="I39" s="504"/>
      <c r="J39" s="2326">
        <f>SUMIFS($H$9:$H$28,$C$9:$C$28,G39,$F$9:$F$28,$H$32)</f>
        <v>0</v>
      </c>
      <c r="K39" s="2327">
        <f>SUMIF($C$9:$C$27,H39,$H$9:$H$27)</f>
        <v>0</v>
      </c>
      <c r="L39" s="398"/>
      <c r="N39" s="360"/>
    </row>
    <row r="40" spans="1:15" s="361" customFormat="1" ht="19.5" customHeight="1" x14ac:dyDescent="0.45">
      <c r="A40" s="360"/>
      <c r="B40" s="2325" t="s">
        <v>1294</v>
      </c>
      <c r="C40" s="2325"/>
      <c r="D40" s="504"/>
      <c r="E40" s="505">
        <f>SUMIFS($H$9:$H$28,$C$9:$C$28,B40,$F$9:$F$28,$C$32)</f>
        <v>0</v>
      </c>
      <c r="F40" s="498"/>
      <c r="G40" s="2325" t="s">
        <v>1294</v>
      </c>
      <c r="H40" s="2325"/>
      <c r="I40" s="504"/>
      <c r="J40" s="2326">
        <f>SUMIFS($H$9:$H$28,$C$9:$C$28,G40,$F$9:$F$28,$H$32)</f>
        <v>0</v>
      </c>
      <c r="K40" s="2327">
        <f>SUMIF($C$9:$C$27,H40,$H$9:$H$27)</f>
        <v>0</v>
      </c>
      <c r="L40" s="398"/>
      <c r="N40" s="360"/>
    </row>
    <row r="41" spans="1:15" s="361" customFormat="1" ht="19.5" customHeight="1" x14ac:dyDescent="0.45">
      <c r="A41" s="360"/>
      <c r="B41" s="2325" t="s">
        <v>1295</v>
      </c>
      <c r="C41" s="2325"/>
      <c r="D41" s="504"/>
      <c r="E41" s="505">
        <f>SUMIFS($H$9:$H$28,$C$9:$C$28,B41,$F$9:$F$28,$C$32)</f>
        <v>0</v>
      </c>
      <c r="F41" s="498"/>
      <c r="G41" s="2325" t="s">
        <v>1295</v>
      </c>
      <c r="H41" s="2325"/>
      <c r="I41" s="504"/>
      <c r="J41" s="2326">
        <f>SUMIFS($H$9:$H$28,$C$9:$C$28,G41,$F$9:$F$28,$H$32)</f>
        <v>0</v>
      </c>
      <c r="K41" s="2327">
        <f>SUMIF($C$9:$C$27,H41,$H$9:$H$27)</f>
        <v>0</v>
      </c>
      <c r="L41" s="398"/>
      <c r="N41" s="360"/>
    </row>
    <row r="42" spans="1:15" s="361" customFormat="1" ht="19.5" customHeight="1" x14ac:dyDescent="0.45">
      <c r="A42" s="360"/>
      <c r="B42" s="2325" t="s">
        <v>1296</v>
      </c>
      <c r="C42" s="2325"/>
      <c r="D42" s="506"/>
      <c r="E42" s="505">
        <f>SUMIFS($H$9:$H$28,$C$9:$C$28,B42,$F$9:$F$28,$C$32)</f>
        <v>0</v>
      </c>
      <c r="F42" s="498"/>
      <c r="G42" s="2325" t="s">
        <v>1296</v>
      </c>
      <c r="H42" s="2325"/>
      <c r="I42" s="506"/>
      <c r="J42" s="2326">
        <f>SUMIFS($H$9:$H$28,$C$9:$C$28,G42,$F$9:$F$28,$H$32)</f>
        <v>0</v>
      </c>
      <c r="K42" s="2327">
        <f>SUMIF($C$9:$C$27,H42,$H$9:$H$27)</f>
        <v>0</v>
      </c>
      <c r="L42" s="398"/>
      <c r="N42" s="360"/>
    </row>
    <row r="43" spans="1:15" s="361" customFormat="1" ht="19.5" customHeight="1" thickBot="1" x14ac:dyDescent="0.5">
      <c r="A43" s="360"/>
      <c r="B43" s="2318" t="s">
        <v>1297</v>
      </c>
      <c r="C43" s="2318"/>
      <c r="D43" s="507"/>
      <c r="E43" s="508">
        <f>D44-SUM(E35:E42)</f>
        <v>0</v>
      </c>
      <c r="F43" s="498"/>
      <c r="G43" s="2319" t="s">
        <v>1298</v>
      </c>
      <c r="H43" s="2319"/>
      <c r="I43" s="507"/>
      <c r="J43" s="2320">
        <f>I44-SUM(J35:K42)</f>
        <v>0</v>
      </c>
      <c r="K43" s="2321"/>
      <c r="L43" s="398"/>
      <c r="N43" s="360"/>
    </row>
    <row r="44" spans="1:15" s="361" customFormat="1" ht="19.5" customHeight="1" thickTop="1" x14ac:dyDescent="0.45">
      <c r="A44" s="360"/>
      <c r="B44" s="2322" t="s">
        <v>1232</v>
      </c>
      <c r="C44" s="2322"/>
      <c r="D44" s="509">
        <f>SUM(D35:D43)</f>
        <v>0</v>
      </c>
      <c r="E44" s="510">
        <f>SUM(E35:E43)</f>
        <v>0</v>
      </c>
      <c r="F44" s="498"/>
      <c r="G44" s="2322" t="s">
        <v>1232</v>
      </c>
      <c r="H44" s="2322"/>
      <c r="I44" s="509">
        <f>SUM(I35:I43)</f>
        <v>0</v>
      </c>
      <c r="J44" s="2323">
        <f>SUM(J35:K43)</f>
        <v>0</v>
      </c>
      <c r="K44" s="2324"/>
      <c r="L44" s="398"/>
      <c r="N44" s="360"/>
    </row>
    <row r="45" spans="1:15" s="361" customFormat="1" ht="7.5" customHeight="1" x14ac:dyDescent="0.45">
      <c r="A45" s="360"/>
      <c r="B45" s="399"/>
      <c r="C45" s="511"/>
      <c r="D45" s="400"/>
      <c r="E45" s="401"/>
      <c r="G45" s="403"/>
      <c r="H45" s="404"/>
      <c r="I45" s="405"/>
      <c r="J45" s="405"/>
      <c r="K45" s="404"/>
      <c r="L45" s="406"/>
      <c r="N45" s="360"/>
      <c r="O45" s="398"/>
    </row>
    <row r="46" spans="1:15" s="402" customFormat="1" ht="18" customHeight="1" x14ac:dyDescent="0.45">
      <c r="B46" s="407" t="s">
        <v>1299</v>
      </c>
      <c r="C46" s="512"/>
      <c r="D46" s="407"/>
      <c r="E46" s="407"/>
      <c r="F46" s="407"/>
      <c r="G46" s="407"/>
      <c r="H46" s="407"/>
      <c r="I46" s="407"/>
      <c r="J46" s="408"/>
      <c r="K46" s="408"/>
      <c r="L46" s="408"/>
    </row>
    <row r="47" spans="1:15" s="402" customFormat="1" ht="18" customHeight="1" x14ac:dyDescent="0.45">
      <c r="B47" s="513" t="s">
        <v>1300</v>
      </c>
      <c r="C47" s="513" t="s">
        <v>1301</v>
      </c>
      <c r="D47" s="2315" t="s">
        <v>1302</v>
      </c>
      <c r="E47" s="2316"/>
      <c r="F47" s="2316"/>
      <c r="G47" s="2316"/>
      <c r="H47" s="2316"/>
      <c r="I47" s="2316"/>
      <c r="J47" s="2316"/>
      <c r="K47" s="2316"/>
      <c r="L47" s="2317"/>
    </row>
    <row r="48" spans="1:15" s="402" customFormat="1" ht="18" customHeight="1" x14ac:dyDescent="0.45">
      <c r="B48" s="513">
        <v>1</v>
      </c>
      <c r="C48" s="513" t="s">
        <v>1303</v>
      </c>
      <c r="D48" s="2312" t="s">
        <v>1304</v>
      </c>
      <c r="E48" s="2313"/>
      <c r="F48" s="2313"/>
      <c r="G48" s="2313"/>
      <c r="H48" s="2313"/>
      <c r="I48" s="2313"/>
      <c r="J48" s="2313"/>
      <c r="K48" s="2313"/>
      <c r="L48" s="2314"/>
    </row>
    <row r="49" spans="2:12" s="402" customFormat="1" ht="18" customHeight="1" x14ac:dyDescent="0.45">
      <c r="B49" s="513">
        <v>2</v>
      </c>
      <c r="C49" s="513" t="s">
        <v>1305</v>
      </c>
      <c r="D49" s="2312" t="s">
        <v>1306</v>
      </c>
      <c r="E49" s="2313"/>
      <c r="F49" s="2313"/>
      <c r="G49" s="2313"/>
      <c r="H49" s="2313"/>
      <c r="I49" s="2313"/>
      <c r="J49" s="2313"/>
      <c r="K49" s="2313"/>
      <c r="L49" s="2314"/>
    </row>
    <row r="50" spans="2:12" s="402" customFormat="1" ht="18" customHeight="1" x14ac:dyDescent="0.45">
      <c r="B50" s="513">
        <v>3</v>
      </c>
      <c r="C50" s="513" t="s">
        <v>1307</v>
      </c>
      <c r="D50" s="2312" t="s">
        <v>1308</v>
      </c>
      <c r="E50" s="2313"/>
      <c r="F50" s="2313"/>
      <c r="G50" s="2313"/>
      <c r="H50" s="2313"/>
      <c r="I50" s="2313"/>
      <c r="J50" s="2313"/>
      <c r="K50" s="2313"/>
      <c r="L50" s="2314"/>
    </row>
    <row r="51" spans="2:12" s="402" customFormat="1" ht="18" customHeight="1" x14ac:dyDescent="0.45">
      <c r="B51" s="513">
        <v>4</v>
      </c>
      <c r="C51" s="513" t="s">
        <v>1309</v>
      </c>
      <c r="D51" s="2312" t="s">
        <v>1310</v>
      </c>
      <c r="E51" s="2313"/>
      <c r="F51" s="2313"/>
      <c r="G51" s="2313"/>
      <c r="H51" s="2313"/>
      <c r="I51" s="2313"/>
      <c r="J51" s="2313"/>
      <c r="K51" s="2313"/>
      <c r="L51" s="2314"/>
    </row>
    <row r="52" spans="2:12" s="402" customFormat="1" ht="24.75" customHeight="1" x14ac:dyDescent="0.45">
      <c r="B52" s="513">
        <v>5</v>
      </c>
      <c r="C52" s="409" t="s">
        <v>1311</v>
      </c>
      <c r="D52" s="2312" t="s">
        <v>1312</v>
      </c>
      <c r="E52" s="2313"/>
      <c r="F52" s="2313"/>
      <c r="G52" s="2313"/>
      <c r="H52" s="2313"/>
      <c r="I52" s="2313"/>
      <c r="J52" s="2313"/>
      <c r="K52" s="2313"/>
      <c r="L52" s="2314"/>
    </row>
    <row r="53" spans="2:12" s="402" customFormat="1" ht="24.75" customHeight="1" x14ac:dyDescent="0.45">
      <c r="B53" s="513">
        <v>6</v>
      </c>
      <c r="C53" s="513" t="s">
        <v>1313</v>
      </c>
      <c r="D53" s="2312" t="s">
        <v>1314</v>
      </c>
      <c r="E53" s="2313"/>
      <c r="F53" s="2313"/>
      <c r="G53" s="2313"/>
      <c r="H53" s="2313"/>
      <c r="I53" s="2313"/>
      <c r="J53" s="2313"/>
      <c r="K53" s="2313"/>
      <c r="L53" s="2314"/>
    </row>
    <row r="54" spans="2:12" s="402" customFormat="1" ht="28.5" customHeight="1" x14ac:dyDescent="0.45">
      <c r="B54" s="514">
        <v>7</v>
      </c>
      <c r="C54" s="514" t="s">
        <v>1315</v>
      </c>
      <c r="D54" s="2312" t="s">
        <v>1316</v>
      </c>
      <c r="E54" s="2313"/>
      <c r="F54" s="2313"/>
      <c r="G54" s="2313"/>
      <c r="H54" s="2313"/>
      <c r="I54" s="2313"/>
      <c r="J54" s="2313"/>
      <c r="K54" s="2313"/>
      <c r="L54" s="2314"/>
    </row>
    <row r="55" spans="2:12" s="402" customFormat="1" ht="18.75" customHeight="1" x14ac:dyDescent="0.45">
      <c r="B55" s="514">
        <v>8</v>
      </c>
      <c r="C55" s="514" t="s">
        <v>1317</v>
      </c>
      <c r="D55" s="2312" t="s">
        <v>1318</v>
      </c>
      <c r="E55" s="2313"/>
      <c r="F55" s="2313"/>
      <c r="G55" s="2313"/>
      <c r="H55" s="2313"/>
      <c r="I55" s="2313"/>
      <c r="J55" s="2313"/>
      <c r="K55" s="2313"/>
      <c r="L55" s="2314"/>
    </row>
    <row r="56" spans="2:12" ht="18.75" customHeight="1" x14ac:dyDescent="0.4"/>
  </sheetData>
  <mergeCells count="71">
    <mergeCell ref="D14:E14"/>
    <mergeCell ref="K3:M3"/>
    <mergeCell ref="B4:M4"/>
    <mergeCell ref="B5:M5"/>
    <mergeCell ref="B6:M6"/>
    <mergeCell ref="B7:M7"/>
    <mergeCell ref="D8:E8"/>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B36:C36"/>
    <mergeCell ref="G36:H36"/>
    <mergeCell ref="J36:K36"/>
    <mergeCell ref="D27:E27"/>
    <mergeCell ref="B29:F29"/>
    <mergeCell ref="D32:E32"/>
    <mergeCell ref="B33:C34"/>
    <mergeCell ref="D33:E33"/>
    <mergeCell ref="G33:H34"/>
    <mergeCell ref="I33:K33"/>
    <mergeCell ref="J34:K34"/>
    <mergeCell ref="B35:C35"/>
    <mergeCell ref="G35:H35"/>
    <mergeCell ref="J35:K35"/>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D53:L53"/>
    <mergeCell ref="D54:L54"/>
    <mergeCell ref="D55:L55"/>
    <mergeCell ref="D47:L47"/>
    <mergeCell ref="D48:L48"/>
    <mergeCell ref="D49:L49"/>
    <mergeCell ref="D50:L50"/>
    <mergeCell ref="D51:L51"/>
    <mergeCell ref="D52:L52"/>
  </mergeCells>
  <phoneticPr fontId="3"/>
  <dataValidations count="4">
    <dataValidation imeMode="off" allowBlank="1" showInputMessage="1" showErrorMessage="1" sqref="B9:B28 G9:H28 J9:K28"/>
    <dataValidation type="list" allowBlank="1" showInputMessage="1" showErrorMessage="1" sqref="M9:M28">
      <formula1>"○,　"</formula1>
    </dataValidation>
    <dataValidation type="list" allowBlank="1" showInputMessage="1" showErrorMessage="1" sqref="F9:F27">
      <formula1>Ｉ.金銭出納簿の区分</formula1>
    </dataValidation>
    <dataValidation type="list" allowBlank="1" showInputMessage="1" showErrorMessage="1" sqref="C9: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A1:OB15"/>
  <sheetViews>
    <sheetView showGridLines="0" topLeftCell="A3" zoomScale="145" zoomScaleNormal="145" zoomScaleSheetLayoutView="85" workbookViewId="0">
      <pane xSplit="6" ySplit="12" topLeftCell="G15" activePane="bottomRight" state="frozen"/>
      <selection activeCell="S8" sqref="S8"/>
      <selection pane="topRight" activeCell="S8" sqref="S8"/>
      <selection pane="bottomLeft" activeCell="S8" sqref="S8"/>
      <selection pane="bottomRight" activeCell="S8" sqref="S8"/>
    </sheetView>
  </sheetViews>
  <sheetFormatPr defaultColWidth="10" defaultRowHeight="13.5" x14ac:dyDescent="0.15"/>
  <cols>
    <col min="1" max="1" width="13.5" style="838" customWidth="1"/>
    <col min="2" max="3" width="10" customWidth="1"/>
    <col min="4" max="4" width="10" style="838" customWidth="1"/>
    <col min="5" max="5" width="15" customWidth="1"/>
    <col min="6" max="6" width="5.75" customWidth="1"/>
    <col min="7" max="7" width="4.5" customWidth="1"/>
    <col min="8" max="8" width="8" customWidth="1"/>
    <col min="9" max="9" width="5.25" customWidth="1"/>
    <col min="10" max="10" width="7.625" customWidth="1"/>
    <col min="11" max="13" width="5.25" customWidth="1"/>
    <col min="14" max="15" width="5.625" style="868" customWidth="1"/>
    <col min="16" max="19" width="5.25" customWidth="1"/>
    <col min="20" max="20" width="6.5" customWidth="1"/>
    <col min="21" max="30" width="5.5" customWidth="1"/>
    <col min="31" max="31" width="7" customWidth="1"/>
    <col min="32" max="32" width="8.875" customWidth="1"/>
    <col min="33" max="60" width="7" customWidth="1"/>
    <col min="61" max="61" width="8.375" customWidth="1"/>
    <col min="62" max="90" width="7" customWidth="1"/>
    <col min="91" max="91" width="8.375" customWidth="1"/>
    <col min="92" max="119" width="7" customWidth="1"/>
    <col min="120" max="121" width="10.25" style="868" customWidth="1"/>
    <col min="122" max="126" width="7" customWidth="1"/>
    <col min="127" max="127" width="14.125" customWidth="1"/>
    <col min="128" max="132" width="7" customWidth="1"/>
    <col min="133" max="137" width="8" customWidth="1"/>
    <col min="138" max="140" width="10.625" customWidth="1"/>
    <col min="141" max="145" width="7.875" customWidth="1"/>
    <col min="146" max="152" width="7.875" style="868" customWidth="1"/>
    <col min="153" max="153" width="28" style="868" customWidth="1"/>
    <col min="154" max="155" width="6.5" style="868" customWidth="1"/>
    <col min="156" max="156" width="28" style="868" customWidth="1"/>
    <col min="157" max="158" width="6.5" style="868" customWidth="1"/>
    <col min="159" max="159" width="28" style="868" customWidth="1"/>
    <col min="160" max="161" width="6.5" style="868" customWidth="1"/>
    <col min="162" max="166" width="7.875" customWidth="1"/>
    <col min="167" max="167" width="7.875" style="868" customWidth="1"/>
    <col min="168" max="168" width="6.125" style="868" customWidth="1"/>
    <col min="169" max="176" width="6.25" style="868" customWidth="1"/>
    <col min="177" max="177" width="9.125" style="868" customWidth="1"/>
    <col min="178" max="188" width="6.25" style="868" customWidth="1"/>
    <col min="189" max="189" width="10" style="868" customWidth="1"/>
    <col min="190" max="192" width="7.875" customWidth="1"/>
    <col min="193" max="193" width="7.875" style="868" customWidth="1"/>
    <col min="194" max="195" width="7.875" customWidth="1"/>
    <col min="196" max="202" width="7.875" style="868" customWidth="1"/>
    <col min="203" max="203" width="24.25" style="868" customWidth="1"/>
    <col min="204" max="205" width="6.5" style="868" customWidth="1"/>
    <col min="206" max="208" width="7.875" customWidth="1"/>
    <col min="209" max="209" width="7.875" style="868" customWidth="1"/>
    <col min="210" max="210" width="24.25" style="868" customWidth="1"/>
    <col min="211" max="212" width="6.75" style="868" customWidth="1"/>
    <col min="213" max="215" width="7.875" customWidth="1"/>
    <col min="216" max="216" width="7.875" style="868" customWidth="1"/>
    <col min="217" max="217" width="24.25" style="868" customWidth="1"/>
    <col min="218" max="219" width="6.75" style="868" customWidth="1"/>
    <col min="220" max="221" width="6.75" customWidth="1"/>
    <col min="222" max="222" width="10.875" customWidth="1"/>
    <col min="223" max="223" width="10.875" style="868" customWidth="1"/>
    <col min="224" max="224" width="11.5" customWidth="1"/>
    <col min="225" max="230" width="11" customWidth="1"/>
    <col min="231" max="243" width="8" customWidth="1"/>
    <col min="244" max="244" width="8" style="868" customWidth="1"/>
    <col min="246" max="257" width="7.875" customWidth="1"/>
    <col min="258" max="258" width="6.25" customWidth="1"/>
    <col min="259" max="259" width="6.75" customWidth="1"/>
    <col min="260" max="260" width="6.5" customWidth="1"/>
    <col min="261" max="261" width="8.125" customWidth="1"/>
    <col min="262" max="272" width="7.875" customWidth="1"/>
    <col min="273" max="277" width="8.625" customWidth="1"/>
    <col min="278" max="278" width="7.875" customWidth="1"/>
    <col min="279" max="289" width="7.625" customWidth="1"/>
    <col min="290" max="290" width="18.25" customWidth="1"/>
    <col min="291" max="293" width="8.125" customWidth="1"/>
    <col min="294" max="314" width="8" customWidth="1"/>
    <col min="315" max="315" width="11.5" customWidth="1"/>
    <col min="316" max="391" width="8" customWidth="1"/>
    <col min="392" max="392" width="23.75" customWidth="1"/>
    <col min="393" max="395" width="8" customWidth="1"/>
  </cols>
  <sheetData>
    <row r="1" spans="1:392" hidden="1" x14ac:dyDescent="0.15">
      <c r="A1" s="891" t="s">
        <v>362</v>
      </c>
      <c r="B1" s="892" t="s">
        <v>363</v>
      </c>
      <c r="C1" s="892" t="s">
        <v>2003</v>
      </c>
      <c r="D1" s="892" t="s">
        <v>364</v>
      </c>
      <c r="E1" s="892" t="s">
        <v>365</v>
      </c>
      <c r="F1" s="892" t="s">
        <v>366</v>
      </c>
      <c r="G1" s="892" t="s">
        <v>367</v>
      </c>
      <c r="H1" s="892" t="s">
        <v>368</v>
      </c>
      <c r="I1" s="892" t="s">
        <v>369</v>
      </c>
      <c r="J1" s="892" t="s">
        <v>370</v>
      </c>
      <c r="K1" s="892" t="s">
        <v>371</v>
      </c>
      <c r="L1" s="892" t="s">
        <v>372</v>
      </c>
      <c r="M1" s="892" t="s">
        <v>373</v>
      </c>
      <c r="N1" s="892" t="s">
        <v>374</v>
      </c>
      <c r="O1" s="892" t="s">
        <v>375</v>
      </c>
      <c r="P1" s="892" t="s">
        <v>376</v>
      </c>
      <c r="Q1" s="892" t="s">
        <v>377</v>
      </c>
      <c r="R1" s="892" t="s">
        <v>378</v>
      </c>
      <c r="S1" s="892" t="s">
        <v>379</v>
      </c>
      <c r="T1" s="892" t="s">
        <v>380</v>
      </c>
      <c r="U1" s="892" t="s">
        <v>381</v>
      </c>
      <c r="V1" s="892" t="s">
        <v>382</v>
      </c>
      <c r="W1" s="892" t="s">
        <v>383</v>
      </c>
      <c r="X1" s="892" t="s">
        <v>384</v>
      </c>
      <c r="Y1" s="892" t="s">
        <v>385</v>
      </c>
      <c r="Z1" s="892" t="s">
        <v>386</v>
      </c>
      <c r="AA1" s="892" t="s">
        <v>387</v>
      </c>
      <c r="AB1" s="892" t="s">
        <v>388</v>
      </c>
      <c r="AC1" s="892" t="s">
        <v>389</v>
      </c>
      <c r="AD1" s="892" t="s">
        <v>390</v>
      </c>
      <c r="AE1" s="892" t="s">
        <v>425</v>
      </c>
      <c r="AF1" s="892" t="s">
        <v>426</v>
      </c>
      <c r="AG1" s="892" t="s">
        <v>427</v>
      </c>
      <c r="AH1" s="892" t="s">
        <v>428</v>
      </c>
      <c r="AI1" s="892" t="s">
        <v>429</v>
      </c>
      <c r="AJ1" s="892" t="s">
        <v>430</v>
      </c>
      <c r="AK1" s="892" t="s">
        <v>431</v>
      </c>
      <c r="AL1" s="892" t="s">
        <v>432</v>
      </c>
      <c r="AM1" s="892" t="s">
        <v>433</v>
      </c>
      <c r="AN1" s="892" t="s">
        <v>434</v>
      </c>
      <c r="AO1" s="892" t="s">
        <v>435</v>
      </c>
      <c r="AP1" s="892" t="s">
        <v>436</v>
      </c>
      <c r="AQ1" s="892" t="s">
        <v>437</v>
      </c>
      <c r="AR1" s="892" t="s">
        <v>438</v>
      </c>
      <c r="AS1" s="892" t="s">
        <v>439</v>
      </c>
      <c r="AT1" s="892" t="s">
        <v>440</v>
      </c>
      <c r="AU1" s="892" t="s">
        <v>441</v>
      </c>
      <c r="AV1" s="892" t="s">
        <v>442</v>
      </c>
      <c r="AW1" s="892" t="s">
        <v>443</v>
      </c>
      <c r="AX1" s="892" t="s">
        <v>444</v>
      </c>
      <c r="AY1" s="892" t="s">
        <v>445</v>
      </c>
      <c r="AZ1" s="892" t="s">
        <v>446</v>
      </c>
      <c r="BA1" s="892" t="s">
        <v>447</v>
      </c>
      <c r="BB1" s="892" t="s">
        <v>448</v>
      </c>
      <c r="BC1" s="892" t="s">
        <v>449</v>
      </c>
      <c r="BD1" s="892" t="s">
        <v>450</v>
      </c>
      <c r="BE1" s="892" t="s">
        <v>451</v>
      </c>
      <c r="BF1" s="892" t="s">
        <v>452</v>
      </c>
      <c r="BG1" s="892" t="s">
        <v>453</v>
      </c>
      <c r="BH1" s="892" t="s">
        <v>454</v>
      </c>
      <c r="BI1" s="892" t="s">
        <v>455</v>
      </c>
      <c r="BJ1" s="892" t="s">
        <v>456</v>
      </c>
      <c r="BK1" s="892" t="s">
        <v>457</v>
      </c>
      <c r="BL1" s="892" t="s">
        <v>458</v>
      </c>
      <c r="BM1" s="892" t="s">
        <v>459</v>
      </c>
      <c r="BN1" s="892" t="s">
        <v>460</v>
      </c>
      <c r="BO1" s="892" t="s">
        <v>461</v>
      </c>
      <c r="BP1" s="892" t="s">
        <v>462</v>
      </c>
      <c r="BQ1" s="892" t="s">
        <v>463</v>
      </c>
      <c r="BR1" s="892" t="s">
        <v>464</v>
      </c>
      <c r="BS1" s="892" t="s">
        <v>465</v>
      </c>
      <c r="BT1" s="892" t="s">
        <v>466</v>
      </c>
      <c r="BU1" s="892" t="s">
        <v>467</v>
      </c>
      <c r="BV1" s="892" t="s">
        <v>468</v>
      </c>
      <c r="BW1" s="892" t="s">
        <v>469</v>
      </c>
      <c r="BX1" s="892" t="s">
        <v>470</v>
      </c>
      <c r="BY1" s="892" t="s">
        <v>471</v>
      </c>
      <c r="BZ1" s="892" t="s">
        <v>472</v>
      </c>
      <c r="CA1" s="892" t="s">
        <v>473</v>
      </c>
      <c r="CB1" s="892" t="s">
        <v>474</v>
      </c>
      <c r="CC1" s="892" t="s">
        <v>475</v>
      </c>
      <c r="CD1" s="892" t="s">
        <v>476</v>
      </c>
      <c r="CE1" s="892" t="s">
        <v>477</v>
      </c>
      <c r="CF1" s="892" t="s">
        <v>478</v>
      </c>
      <c r="CG1" s="892" t="s">
        <v>479</v>
      </c>
      <c r="CH1" s="892" t="s">
        <v>480</v>
      </c>
      <c r="CI1" s="892" t="s">
        <v>481</v>
      </c>
      <c r="CJ1" s="892" t="s">
        <v>482</v>
      </c>
      <c r="CK1" s="892" t="s">
        <v>483</v>
      </c>
      <c r="CL1" s="892" t="s">
        <v>484</v>
      </c>
      <c r="CM1" s="892" t="s">
        <v>485</v>
      </c>
      <c r="CN1" s="892" t="s">
        <v>486</v>
      </c>
      <c r="CO1" s="892" t="s">
        <v>487</v>
      </c>
      <c r="CP1" s="892" t="s">
        <v>488</v>
      </c>
      <c r="CQ1" s="892" t="s">
        <v>489</v>
      </c>
      <c r="CR1" s="892" t="s">
        <v>490</v>
      </c>
      <c r="CS1" s="892" t="s">
        <v>491</v>
      </c>
      <c r="CT1" s="892" t="s">
        <v>492</v>
      </c>
      <c r="CU1" s="892" t="s">
        <v>493</v>
      </c>
      <c r="CV1" s="892" t="s">
        <v>494</v>
      </c>
      <c r="CW1" s="892" t="s">
        <v>495</v>
      </c>
      <c r="CX1" s="892" t="s">
        <v>496</v>
      </c>
      <c r="CY1" s="892" t="s">
        <v>497</v>
      </c>
      <c r="CZ1" s="892" t="s">
        <v>498</v>
      </c>
      <c r="DA1" s="892" t="s">
        <v>499</v>
      </c>
      <c r="DB1" s="892" t="s">
        <v>500</v>
      </c>
      <c r="DC1" s="892" t="s">
        <v>501</v>
      </c>
      <c r="DD1" s="892" t="s">
        <v>502</v>
      </c>
      <c r="DE1" s="892" t="s">
        <v>503</v>
      </c>
      <c r="DF1" s="892" t="s">
        <v>504</v>
      </c>
      <c r="DG1" s="892" t="s">
        <v>505</v>
      </c>
      <c r="DH1" s="892" t="s">
        <v>506</v>
      </c>
      <c r="DI1" s="892" t="s">
        <v>507</v>
      </c>
      <c r="DJ1" s="892" t="s">
        <v>508</v>
      </c>
      <c r="DK1" s="892" t="s">
        <v>509</v>
      </c>
      <c r="DL1" s="892" t="s">
        <v>510</v>
      </c>
      <c r="DM1" s="892" t="s">
        <v>511</v>
      </c>
      <c r="DN1" s="892" t="s">
        <v>512</v>
      </c>
      <c r="DO1" s="892" t="s">
        <v>513</v>
      </c>
      <c r="DP1" s="892" t="s">
        <v>514</v>
      </c>
      <c r="DQ1" s="892" t="s">
        <v>515</v>
      </c>
      <c r="DR1" s="892" t="s">
        <v>516</v>
      </c>
      <c r="DS1" s="892" t="s">
        <v>517</v>
      </c>
      <c r="DT1" s="892" t="s">
        <v>518</v>
      </c>
      <c r="DU1" s="892" t="s">
        <v>2014</v>
      </c>
      <c r="DV1" s="892" t="s">
        <v>519</v>
      </c>
      <c r="DW1" s="892" t="s">
        <v>520</v>
      </c>
      <c r="DX1" s="892" t="s">
        <v>2015</v>
      </c>
      <c r="DY1" s="892" t="s">
        <v>521</v>
      </c>
      <c r="DZ1" s="892" t="s">
        <v>522</v>
      </c>
      <c r="EA1" s="892" t="s">
        <v>523</v>
      </c>
      <c r="EB1" s="892" t="s">
        <v>524</v>
      </c>
      <c r="EC1" s="892" t="s">
        <v>525</v>
      </c>
      <c r="ED1" s="892" t="s">
        <v>526</v>
      </c>
      <c r="EE1" s="892" t="s">
        <v>527</v>
      </c>
      <c r="EF1" s="892" t="s">
        <v>528</v>
      </c>
      <c r="EG1" s="892" t="s">
        <v>529</v>
      </c>
      <c r="EH1" s="892" t="s">
        <v>530</v>
      </c>
      <c r="EI1" s="892" t="s">
        <v>531</v>
      </c>
      <c r="EJ1" s="892" t="s">
        <v>532</v>
      </c>
      <c r="EK1" s="892" t="s">
        <v>601</v>
      </c>
      <c r="EL1" s="892" t="s">
        <v>602</v>
      </c>
      <c r="EM1" s="892" t="s">
        <v>603</v>
      </c>
      <c r="EN1" s="892" t="s">
        <v>604</v>
      </c>
      <c r="EO1" s="892" t="s">
        <v>605</v>
      </c>
      <c r="EP1" s="892" t="s">
        <v>606</v>
      </c>
      <c r="EQ1" s="892" t="s">
        <v>2027</v>
      </c>
      <c r="ER1" s="892" t="s">
        <v>2028</v>
      </c>
      <c r="ES1" s="892" t="s">
        <v>2029</v>
      </c>
      <c r="ET1" s="892" t="s">
        <v>2030</v>
      </c>
      <c r="EU1" s="892" t="s">
        <v>2031</v>
      </c>
      <c r="EV1" s="892" t="s">
        <v>2032</v>
      </c>
      <c r="EW1" s="892" t="s">
        <v>2018</v>
      </c>
      <c r="EX1" s="892" t="s">
        <v>2019</v>
      </c>
      <c r="EY1" s="892" t="s">
        <v>2020</v>
      </c>
      <c r="EZ1" s="892" t="s">
        <v>2021</v>
      </c>
      <c r="FA1" s="892" t="s">
        <v>2022</v>
      </c>
      <c r="FB1" s="892" t="s">
        <v>2023</v>
      </c>
      <c r="FC1" s="892" t="s">
        <v>2024</v>
      </c>
      <c r="FD1" s="892" t="s">
        <v>2025</v>
      </c>
      <c r="FE1" s="892" t="s">
        <v>2026</v>
      </c>
      <c r="FF1" s="892" t="s">
        <v>2033</v>
      </c>
      <c r="FG1" s="892" t="s">
        <v>2034</v>
      </c>
      <c r="FH1" s="892" t="s">
        <v>2035</v>
      </c>
      <c r="FI1" s="892" t="s">
        <v>2036</v>
      </c>
      <c r="FJ1" s="892" t="s">
        <v>2037</v>
      </c>
      <c r="FK1" s="892" t="s">
        <v>2038</v>
      </c>
      <c r="FL1" s="892" t="s">
        <v>2039</v>
      </c>
      <c r="FM1" s="892" t="s">
        <v>2040</v>
      </c>
      <c r="FN1" s="892" t="s">
        <v>2041</v>
      </c>
      <c r="FO1" s="892" t="s">
        <v>2042</v>
      </c>
      <c r="FP1" s="892" t="s">
        <v>2043</v>
      </c>
      <c r="FQ1" s="892" t="s">
        <v>2044</v>
      </c>
      <c r="FR1" s="892" t="s">
        <v>2045</v>
      </c>
      <c r="FS1" s="892" t="s">
        <v>2046</v>
      </c>
      <c r="FT1" s="892" t="s">
        <v>2047</v>
      </c>
      <c r="FU1" s="892" t="s">
        <v>2048</v>
      </c>
      <c r="FV1" s="892" t="s">
        <v>2049</v>
      </c>
      <c r="FW1" s="892" t="s">
        <v>2050</v>
      </c>
      <c r="FX1" s="892" t="s">
        <v>2051</v>
      </c>
      <c r="FY1" s="892" t="s">
        <v>2052</v>
      </c>
      <c r="FZ1" s="892" t="s">
        <v>2053</v>
      </c>
      <c r="GA1" s="892" t="s">
        <v>2054</v>
      </c>
      <c r="GB1" s="892" t="s">
        <v>2055</v>
      </c>
      <c r="GC1" s="892" t="s">
        <v>2056</v>
      </c>
      <c r="GD1" s="892" t="s">
        <v>2057</v>
      </c>
      <c r="GE1" s="892" t="s">
        <v>2058</v>
      </c>
      <c r="GF1" s="892" t="s">
        <v>2059</v>
      </c>
      <c r="GG1" s="892" t="s">
        <v>2060</v>
      </c>
      <c r="GH1" s="892" t="s">
        <v>2061</v>
      </c>
      <c r="GI1" s="892" t="s">
        <v>2062</v>
      </c>
      <c r="GJ1" s="892" t="s">
        <v>2063</v>
      </c>
      <c r="GK1" s="892" t="s">
        <v>2064</v>
      </c>
      <c r="GL1" s="892" t="s">
        <v>2065</v>
      </c>
      <c r="GM1" s="892" t="s">
        <v>2066</v>
      </c>
      <c r="GN1" s="892" t="s">
        <v>2068</v>
      </c>
      <c r="GO1" s="892" t="s">
        <v>2069</v>
      </c>
      <c r="GP1" s="892" t="s">
        <v>2070</v>
      </c>
      <c r="GQ1" s="892" t="s">
        <v>2071</v>
      </c>
      <c r="GR1" s="892" t="s">
        <v>2072</v>
      </c>
      <c r="GS1" s="892" t="s">
        <v>2073</v>
      </c>
      <c r="GT1" s="892" t="s">
        <v>2074</v>
      </c>
      <c r="GU1" s="892" t="s">
        <v>2075</v>
      </c>
      <c r="GV1" s="892" t="s">
        <v>2076</v>
      </c>
      <c r="GW1" s="892" t="s">
        <v>2077</v>
      </c>
      <c r="GX1" s="892" t="s">
        <v>2078</v>
      </c>
      <c r="GY1" s="892" t="s">
        <v>2079</v>
      </c>
      <c r="GZ1" s="892" t="s">
        <v>2080</v>
      </c>
      <c r="HA1" s="892" t="s">
        <v>2081</v>
      </c>
      <c r="HB1" s="892" t="s">
        <v>2082</v>
      </c>
      <c r="HC1" s="892" t="s">
        <v>2083</v>
      </c>
      <c r="HD1" s="892" t="s">
        <v>2084</v>
      </c>
      <c r="HE1" s="892" t="s">
        <v>2085</v>
      </c>
      <c r="HF1" s="892" t="s">
        <v>2086</v>
      </c>
      <c r="HG1" s="892" t="s">
        <v>2087</v>
      </c>
      <c r="HH1" s="892" t="s">
        <v>2088</v>
      </c>
      <c r="HI1" s="892" t="s">
        <v>2089</v>
      </c>
      <c r="HJ1" s="892" t="s">
        <v>2090</v>
      </c>
      <c r="HK1" s="892" t="s">
        <v>2091</v>
      </c>
      <c r="HL1" s="892" t="s">
        <v>2092</v>
      </c>
      <c r="HM1" s="892" t="s">
        <v>2093</v>
      </c>
      <c r="HN1" s="892" t="s">
        <v>2094</v>
      </c>
      <c r="HO1" s="892" t="s">
        <v>2095</v>
      </c>
      <c r="HP1" s="892" t="s">
        <v>2096</v>
      </c>
      <c r="HQ1" s="892" t="s">
        <v>2097</v>
      </c>
      <c r="HR1" s="892" t="s">
        <v>2098</v>
      </c>
      <c r="HS1" s="892" t="s">
        <v>2099</v>
      </c>
      <c r="HT1" s="892" t="s">
        <v>2100</v>
      </c>
      <c r="HU1" s="892" t="s">
        <v>2101</v>
      </c>
      <c r="HV1" s="892" t="s">
        <v>2102</v>
      </c>
      <c r="HW1" s="892" t="s">
        <v>2103</v>
      </c>
      <c r="HX1" s="892" t="s">
        <v>2104</v>
      </c>
      <c r="HY1" s="892" t="s">
        <v>2105</v>
      </c>
      <c r="HZ1" s="892" t="s">
        <v>2106</v>
      </c>
      <c r="IA1" s="892" t="s">
        <v>2107</v>
      </c>
      <c r="IB1" s="892" t="s">
        <v>2108</v>
      </c>
      <c r="IC1" s="892" t="s">
        <v>2109</v>
      </c>
      <c r="ID1" s="892" t="s">
        <v>2110</v>
      </c>
      <c r="IE1" s="892" t="s">
        <v>2111</v>
      </c>
      <c r="IF1" s="892" t="s">
        <v>2112</v>
      </c>
      <c r="IG1" s="892" t="s">
        <v>2113</v>
      </c>
      <c r="IH1" s="892" t="s">
        <v>2114</v>
      </c>
      <c r="II1" s="892" t="s">
        <v>2115</v>
      </c>
      <c r="IJ1" s="892" t="s">
        <v>2116</v>
      </c>
      <c r="IK1" s="892" t="s">
        <v>2117</v>
      </c>
      <c r="IL1" s="892" t="s">
        <v>2118</v>
      </c>
      <c r="IM1" s="892" t="s">
        <v>2119</v>
      </c>
      <c r="IN1" s="892" t="s">
        <v>2120</v>
      </c>
      <c r="IO1" s="892" t="s">
        <v>2121</v>
      </c>
      <c r="IP1" s="892" t="s">
        <v>2122</v>
      </c>
      <c r="IQ1" s="892" t="s">
        <v>2123</v>
      </c>
      <c r="IR1" s="892" t="s">
        <v>2124</v>
      </c>
      <c r="IS1" s="892" t="s">
        <v>2125</v>
      </c>
      <c r="IT1" s="892" t="s">
        <v>2126</v>
      </c>
      <c r="IU1" s="892" t="s">
        <v>2127</v>
      </c>
      <c r="IV1" s="892" t="s">
        <v>2128</v>
      </c>
      <c r="IW1" s="892" t="s">
        <v>2129</v>
      </c>
      <c r="IX1" s="892" t="s">
        <v>2130</v>
      </c>
      <c r="IY1" s="892" t="s">
        <v>2131</v>
      </c>
      <c r="IZ1" s="892" t="s">
        <v>2132</v>
      </c>
      <c r="JA1" s="892" t="s">
        <v>2133</v>
      </c>
      <c r="JB1" s="892" t="s">
        <v>2134</v>
      </c>
      <c r="JC1" s="892" t="s">
        <v>2135</v>
      </c>
      <c r="JD1" s="892" t="s">
        <v>2136</v>
      </c>
      <c r="JE1" s="892" t="s">
        <v>2137</v>
      </c>
      <c r="JF1" s="892" t="s">
        <v>2138</v>
      </c>
      <c r="JG1" s="892" t="s">
        <v>2139</v>
      </c>
      <c r="JH1" s="892" t="s">
        <v>2140</v>
      </c>
      <c r="JI1" s="892" t="s">
        <v>2141</v>
      </c>
      <c r="JJ1" s="892" t="s">
        <v>2142</v>
      </c>
      <c r="JK1" s="892" t="s">
        <v>2143</v>
      </c>
      <c r="JL1" s="892" t="s">
        <v>2144</v>
      </c>
      <c r="JM1" s="892" t="s">
        <v>2145</v>
      </c>
      <c r="JN1" s="892" t="s">
        <v>2146</v>
      </c>
      <c r="JO1" s="892" t="s">
        <v>2147</v>
      </c>
      <c r="JP1" s="892" t="s">
        <v>2148</v>
      </c>
      <c r="JQ1" s="892" t="s">
        <v>2149</v>
      </c>
      <c r="JR1" s="892" t="s">
        <v>2150</v>
      </c>
      <c r="JS1" s="892" t="s">
        <v>2151</v>
      </c>
      <c r="JT1" s="892" t="s">
        <v>2152</v>
      </c>
      <c r="JU1" s="892" t="s">
        <v>2153</v>
      </c>
      <c r="JV1" s="892" t="s">
        <v>2154</v>
      </c>
      <c r="JW1" s="892" t="s">
        <v>2155</v>
      </c>
      <c r="JX1" s="892" t="s">
        <v>2156</v>
      </c>
      <c r="JY1" s="892" t="s">
        <v>2157</v>
      </c>
      <c r="JZ1" s="892" t="s">
        <v>2158</v>
      </c>
      <c r="KA1" s="892" t="s">
        <v>2159</v>
      </c>
      <c r="KB1" s="892" t="s">
        <v>2160</v>
      </c>
      <c r="KC1" s="892" t="s">
        <v>2161</v>
      </c>
      <c r="KD1" s="892" t="s">
        <v>2162</v>
      </c>
      <c r="KE1" s="892" t="s">
        <v>2163</v>
      </c>
      <c r="KF1" s="892" t="s">
        <v>2164</v>
      </c>
      <c r="KG1" s="892" t="s">
        <v>2165</v>
      </c>
      <c r="KH1" s="892" t="s">
        <v>718</v>
      </c>
      <c r="KI1" s="892" t="s">
        <v>719</v>
      </c>
      <c r="KJ1" s="892" t="s">
        <v>720</v>
      </c>
      <c r="KK1" s="892" t="s">
        <v>721</v>
      </c>
      <c r="KL1" s="892" t="s">
        <v>722</v>
      </c>
      <c r="KM1" s="892" t="s">
        <v>723</v>
      </c>
      <c r="KN1" s="892" t="s">
        <v>724</v>
      </c>
      <c r="KO1" s="892" t="s">
        <v>725</v>
      </c>
      <c r="KP1" s="892" t="s">
        <v>726</v>
      </c>
      <c r="KQ1" s="892" t="s">
        <v>727</v>
      </c>
      <c r="KR1" s="892" t="s">
        <v>728</v>
      </c>
      <c r="KS1" s="892" t="s">
        <v>729</v>
      </c>
      <c r="KT1" s="892" t="s">
        <v>730</v>
      </c>
      <c r="KU1" s="892" t="s">
        <v>731</v>
      </c>
      <c r="KV1" s="892" t="s">
        <v>732</v>
      </c>
      <c r="KW1" s="892" t="s">
        <v>733</v>
      </c>
      <c r="KX1" s="892" t="s">
        <v>734</v>
      </c>
      <c r="KY1" s="892"/>
      <c r="KZ1" s="892"/>
      <c r="LA1" s="892"/>
      <c r="LB1" s="892" t="s">
        <v>735</v>
      </c>
      <c r="LC1" s="892" t="s">
        <v>736</v>
      </c>
      <c r="LD1" s="892" t="s">
        <v>737</v>
      </c>
      <c r="LE1" s="892" t="s">
        <v>738</v>
      </c>
      <c r="LF1" s="892" t="s">
        <v>739</v>
      </c>
      <c r="LG1" s="892" t="s">
        <v>740</v>
      </c>
      <c r="LH1" s="892" t="s">
        <v>741</v>
      </c>
      <c r="LI1" s="892" t="s">
        <v>742</v>
      </c>
      <c r="LJ1" s="892" t="s">
        <v>743</v>
      </c>
      <c r="LK1" s="892" t="s">
        <v>744</v>
      </c>
      <c r="LL1" s="892" t="s">
        <v>745</v>
      </c>
      <c r="LM1" s="892" t="s">
        <v>746</v>
      </c>
      <c r="LN1" s="892" t="s">
        <v>747</v>
      </c>
      <c r="LO1" s="892" t="s">
        <v>748</v>
      </c>
      <c r="LP1" s="892" t="s">
        <v>749</v>
      </c>
      <c r="LQ1" s="892" t="s">
        <v>750</v>
      </c>
      <c r="LR1" s="892" t="s">
        <v>751</v>
      </c>
      <c r="LS1" s="892" t="s">
        <v>752</v>
      </c>
      <c r="LT1" s="892" t="s">
        <v>753</v>
      </c>
      <c r="LU1" s="892" t="s">
        <v>754</v>
      </c>
      <c r="LV1" s="892" t="s">
        <v>755</v>
      </c>
      <c r="LW1" s="892" t="s">
        <v>756</v>
      </c>
      <c r="LX1" s="892" t="s">
        <v>757</v>
      </c>
      <c r="LY1" s="892" t="s">
        <v>758</v>
      </c>
      <c r="LZ1" s="892" t="s">
        <v>759</v>
      </c>
      <c r="MA1" s="892" t="s">
        <v>760</v>
      </c>
      <c r="MB1" s="892" t="s">
        <v>761</v>
      </c>
      <c r="MC1" s="892" t="s">
        <v>762</v>
      </c>
      <c r="MD1" s="892" t="s">
        <v>763</v>
      </c>
      <c r="ME1" s="892" t="s">
        <v>764</v>
      </c>
      <c r="MF1" s="892" t="s">
        <v>765</v>
      </c>
      <c r="MG1" s="892" t="s">
        <v>766</v>
      </c>
      <c r="MH1" s="892" t="s">
        <v>767</v>
      </c>
      <c r="MN1" s="892" t="s">
        <v>742</v>
      </c>
      <c r="MP1" s="534"/>
    </row>
    <row r="2" spans="1:392" s="841" customFormat="1" ht="14.25" hidden="1" x14ac:dyDescent="0.15">
      <c r="A2" s="841">
        <f>SUBTOTAL(2,A15:A3562)</f>
        <v>0</v>
      </c>
      <c r="H2" s="841">
        <f>SUBTOTAL(3,H15:H15)</f>
        <v>1</v>
      </c>
      <c r="I2" s="841">
        <f>SUBTOTAL(2,I15:I3551)</f>
        <v>1</v>
      </c>
      <c r="J2" s="841">
        <f>SUBTOTAL(2,J15:J3551)</f>
        <v>0</v>
      </c>
      <c r="K2" s="842">
        <f t="shared" ref="K2:AD2" si="0">SUBTOTAL(9,K15:K15)</f>
        <v>22</v>
      </c>
      <c r="L2" s="842">
        <f t="shared" si="0"/>
        <v>4</v>
      </c>
      <c r="M2" s="842">
        <f t="shared" si="0"/>
        <v>9</v>
      </c>
      <c r="N2" s="842">
        <f t="shared" si="0"/>
        <v>3</v>
      </c>
      <c r="O2" s="842">
        <f t="shared" si="0"/>
        <v>4</v>
      </c>
      <c r="P2" s="842">
        <f t="shared" si="0"/>
        <v>1</v>
      </c>
      <c r="Q2" s="842">
        <f t="shared" si="0"/>
        <v>1</v>
      </c>
      <c r="R2" s="842">
        <f t="shared" si="0"/>
        <v>2</v>
      </c>
      <c r="S2" s="842">
        <f t="shared" si="0"/>
        <v>2</v>
      </c>
      <c r="T2" s="842">
        <f>SUBTOTAL(9,T15:T15)</f>
        <v>10</v>
      </c>
      <c r="U2" s="842">
        <f>SUBTOTAL(9,U15:U15)</f>
        <v>1</v>
      </c>
      <c r="V2" s="842">
        <f t="shared" si="0"/>
        <v>2</v>
      </c>
      <c r="W2" s="842">
        <f t="shared" si="0"/>
        <v>1</v>
      </c>
      <c r="X2" s="842">
        <f t="shared" si="0"/>
        <v>1</v>
      </c>
      <c r="Y2" s="842">
        <f t="shared" si="0"/>
        <v>0</v>
      </c>
      <c r="Z2" s="842">
        <f t="shared" si="0"/>
        <v>2</v>
      </c>
      <c r="AA2" s="842">
        <f t="shared" si="0"/>
        <v>2</v>
      </c>
      <c r="AB2" s="842">
        <f t="shared" si="0"/>
        <v>0</v>
      </c>
      <c r="AC2" s="842">
        <f t="shared" si="0"/>
        <v>1</v>
      </c>
      <c r="AD2" s="842">
        <f t="shared" si="0"/>
        <v>0</v>
      </c>
      <c r="AE2" s="842"/>
      <c r="AF2" s="842">
        <f t="shared" ref="AF2:CQ2" si="1">SUBTOTAL(9,AF15:AF3551)</f>
        <v>10535</v>
      </c>
      <c r="AG2" s="842">
        <f t="shared" si="1"/>
        <v>2355</v>
      </c>
      <c r="AH2" s="842">
        <f t="shared" si="1"/>
        <v>946</v>
      </c>
      <c r="AI2" s="842">
        <f t="shared" si="1"/>
        <v>1409</v>
      </c>
      <c r="AJ2" s="842">
        <f t="shared" si="1"/>
        <v>0</v>
      </c>
      <c r="AK2" s="842">
        <f t="shared" si="1"/>
        <v>0</v>
      </c>
      <c r="AL2" s="842">
        <f t="shared" si="1"/>
        <v>0</v>
      </c>
      <c r="AM2" s="842">
        <f t="shared" si="1"/>
        <v>0</v>
      </c>
      <c r="AN2" s="842">
        <f t="shared" si="1"/>
        <v>8180</v>
      </c>
      <c r="AO2" s="842">
        <f t="shared" si="1"/>
        <v>1840</v>
      </c>
      <c r="AP2" s="842">
        <f t="shared" si="1"/>
        <v>6340</v>
      </c>
      <c r="AQ2" s="842">
        <f t="shared" si="1"/>
        <v>0</v>
      </c>
      <c r="AR2" s="842">
        <f t="shared" si="1"/>
        <v>0</v>
      </c>
      <c r="AS2" s="842">
        <f t="shared" si="1"/>
        <v>0</v>
      </c>
      <c r="AT2" s="842">
        <f t="shared" si="1"/>
        <v>0</v>
      </c>
      <c r="AU2" s="842">
        <f t="shared" si="1"/>
        <v>0</v>
      </c>
      <c r="AV2" s="842">
        <f t="shared" si="1"/>
        <v>0</v>
      </c>
      <c r="AW2" s="842">
        <f t="shared" si="1"/>
        <v>0</v>
      </c>
      <c r="AX2" s="842">
        <f t="shared" si="1"/>
        <v>0</v>
      </c>
      <c r="AY2" s="842">
        <f t="shared" si="1"/>
        <v>0</v>
      </c>
      <c r="AZ2" s="842">
        <f t="shared" si="1"/>
        <v>0</v>
      </c>
      <c r="BA2" s="842">
        <f t="shared" si="1"/>
        <v>0</v>
      </c>
      <c r="BB2" s="842">
        <f t="shared" si="1"/>
        <v>0</v>
      </c>
      <c r="BC2" s="842">
        <f t="shared" si="1"/>
        <v>0</v>
      </c>
      <c r="BD2" s="842">
        <f t="shared" si="1"/>
        <v>0</v>
      </c>
      <c r="BE2" s="842">
        <f t="shared" si="1"/>
        <v>0</v>
      </c>
      <c r="BF2" s="842">
        <f t="shared" si="1"/>
        <v>0</v>
      </c>
      <c r="BG2" s="842">
        <f t="shared" si="1"/>
        <v>0</v>
      </c>
      <c r="BH2" s="842">
        <f t="shared" si="1"/>
        <v>0</v>
      </c>
      <c r="BI2" s="842">
        <f t="shared" si="1"/>
        <v>10535</v>
      </c>
      <c r="BJ2" s="842">
        <f t="shared" si="1"/>
        <v>2355</v>
      </c>
      <c r="BK2" s="842">
        <f t="shared" si="1"/>
        <v>946</v>
      </c>
      <c r="BL2" s="842">
        <f t="shared" si="1"/>
        <v>1409</v>
      </c>
      <c r="BM2" s="842">
        <f>SUBTOTAL(9,BM15:BM3551)</f>
        <v>0</v>
      </c>
      <c r="BN2" s="842">
        <f t="shared" si="1"/>
        <v>0</v>
      </c>
      <c r="BO2" s="842">
        <f t="shared" si="1"/>
        <v>0</v>
      </c>
      <c r="BP2" s="842">
        <f t="shared" si="1"/>
        <v>0</v>
      </c>
      <c r="BQ2" s="842">
        <f>SUBTOTAL(9,BQ15:BQ3551)</f>
        <v>8180</v>
      </c>
      <c r="BR2" s="842">
        <f>SUBTOTAL(9,BR15:BR3551)</f>
        <v>1840</v>
      </c>
      <c r="BS2" s="842">
        <f t="shared" si="1"/>
        <v>6340</v>
      </c>
      <c r="BT2" s="842">
        <f t="shared" si="1"/>
        <v>0</v>
      </c>
      <c r="BU2" s="842">
        <f t="shared" si="1"/>
        <v>0</v>
      </c>
      <c r="BV2" s="842">
        <f t="shared" si="1"/>
        <v>0</v>
      </c>
      <c r="BW2" s="842">
        <f t="shared" si="1"/>
        <v>0</v>
      </c>
      <c r="BX2" s="842">
        <f t="shared" si="1"/>
        <v>0</v>
      </c>
      <c r="BY2" s="842">
        <f t="shared" si="1"/>
        <v>0</v>
      </c>
      <c r="BZ2" s="842">
        <f t="shared" si="1"/>
        <v>0</v>
      </c>
      <c r="CA2" s="842">
        <f t="shared" si="1"/>
        <v>0</v>
      </c>
      <c r="CB2" s="842">
        <f t="shared" si="1"/>
        <v>0</v>
      </c>
      <c r="CC2" s="842">
        <f t="shared" si="1"/>
        <v>0</v>
      </c>
      <c r="CD2" s="842">
        <f t="shared" si="1"/>
        <v>0</v>
      </c>
      <c r="CE2" s="842">
        <f t="shared" si="1"/>
        <v>0</v>
      </c>
      <c r="CF2" s="842">
        <f t="shared" si="1"/>
        <v>0</v>
      </c>
      <c r="CG2" s="842">
        <f t="shared" si="1"/>
        <v>0</v>
      </c>
      <c r="CH2" s="842">
        <f t="shared" si="1"/>
        <v>0</v>
      </c>
      <c r="CI2" s="842">
        <f t="shared" si="1"/>
        <v>0</v>
      </c>
      <c r="CJ2" s="842">
        <f t="shared" si="1"/>
        <v>0</v>
      </c>
      <c r="CK2" s="842">
        <f t="shared" si="1"/>
        <v>0</v>
      </c>
      <c r="CL2" s="842">
        <f t="shared" si="1"/>
        <v>0</v>
      </c>
      <c r="CM2" s="842">
        <f t="shared" si="1"/>
        <v>0</v>
      </c>
      <c r="CN2" s="842">
        <f t="shared" si="1"/>
        <v>0</v>
      </c>
      <c r="CO2" s="842">
        <f t="shared" si="1"/>
        <v>0</v>
      </c>
      <c r="CP2" s="842">
        <f t="shared" si="1"/>
        <v>0</v>
      </c>
      <c r="CQ2" s="842">
        <f t="shared" si="1"/>
        <v>0</v>
      </c>
      <c r="CR2" s="842">
        <f t="shared" ref="CR2:DV2" si="2">SUBTOTAL(9,CR15:CR3551)</f>
        <v>0</v>
      </c>
      <c r="CS2" s="842">
        <f t="shared" si="2"/>
        <v>0</v>
      </c>
      <c r="CT2" s="842">
        <f t="shared" si="2"/>
        <v>0</v>
      </c>
      <c r="CU2" s="842">
        <f t="shared" si="2"/>
        <v>0</v>
      </c>
      <c r="CV2" s="842">
        <f t="shared" si="2"/>
        <v>0</v>
      </c>
      <c r="CW2" s="842">
        <f t="shared" si="2"/>
        <v>0</v>
      </c>
      <c r="CX2" s="842">
        <f t="shared" si="2"/>
        <v>0</v>
      </c>
      <c r="CY2" s="842">
        <f t="shared" si="2"/>
        <v>0</v>
      </c>
      <c r="CZ2" s="842">
        <f t="shared" si="2"/>
        <v>0</v>
      </c>
      <c r="DA2" s="842">
        <f t="shared" si="2"/>
        <v>0</v>
      </c>
      <c r="DB2" s="842">
        <f t="shared" si="2"/>
        <v>0</v>
      </c>
      <c r="DC2" s="842">
        <f t="shared" si="2"/>
        <v>0</v>
      </c>
      <c r="DD2" s="842">
        <f t="shared" si="2"/>
        <v>0</v>
      </c>
      <c r="DE2" s="842">
        <f t="shared" si="2"/>
        <v>0</v>
      </c>
      <c r="DF2" s="842">
        <f t="shared" si="2"/>
        <v>0</v>
      </c>
      <c r="DG2" s="842">
        <f t="shared" si="2"/>
        <v>0</v>
      </c>
      <c r="DH2" s="842">
        <f t="shared" si="2"/>
        <v>0</v>
      </c>
      <c r="DI2" s="842">
        <f t="shared" si="2"/>
        <v>0</v>
      </c>
      <c r="DJ2" s="842">
        <f t="shared" si="2"/>
        <v>0</v>
      </c>
      <c r="DK2" s="842">
        <f t="shared" si="2"/>
        <v>0</v>
      </c>
      <c r="DL2" s="842">
        <f t="shared" si="2"/>
        <v>0</v>
      </c>
      <c r="DM2" s="842">
        <f t="shared" si="2"/>
        <v>0</v>
      </c>
      <c r="DN2" s="842">
        <f t="shared" si="2"/>
        <v>0</v>
      </c>
      <c r="DO2" s="842">
        <f t="shared" si="2"/>
        <v>0</v>
      </c>
      <c r="DP2" s="842">
        <f t="shared" si="2"/>
        <v>74488</v>
      </c>
      <c r="DQ2" s="842">
        <f t="shared" si="2"/>
        <v>0</v>
      </c>
      <c r="DR2" s="842">
        <f t="shared" si="2"/>
        <v>0</v>
      </c>
      <c r="DS2" s="842">
        <f t="shared" si="2"/>
        <v>0</v>
      </c>
      <c r="DT2" s="842">
        <f t="shared" si="2"/>
        <v>0</v>
      </c>
      <c r="DU2" s="842">
        <f t="shared" si="2"/>
        <v>0</v>
      </c>
      <c r="DV2" s="842">
        <f t="shared" si="2"/>
        <v>0</v>
      </c>
      <c r="DW2" s="842">
        <f>SUBTOTAL(3,DW15:DW3551)</f>
        <v>0</v>
      </c>
      <c r="DX2" s="842">
        <f t="shared" ref="DX2:EP2" si="3">SUBTOTAL(9,DX15:DX3551)</f>
        <v>0</v>
      </c>
      <c r="DY2" s="842">
        <f t="shared" si="3"/>
        <v>0</v>
      </c>
      <c r="DZ2" s="842">
        <f t="shared" si="3"/>
        <v>0</v>
      </c>
      <c r="EA2" s="842">
        <f t="shared" si="3"/>
        <v>0</v>
      </c>
      <c r="EB2" s="842">
        <f t="shared" si="3"/>
        <v>0</v>
      </c>
      <c r="EC2" s="842">
        <f t="shared" si="3"/>
        <v>0</v>
      </c>
      <c r="ED2" s="842">
        <f t="shared" si="3"/>
        <v>0</v>
      </c>
      <c r="EE2" s="842">
        <f t="shared" si="3"/>
        <v>0</v>
      </c>
      <c r="EF2" s="842">
        <f t="shared" si="3"/>
        <v>0</v>
      </c>
      <c r="EG2" s="842">
        <f t="shared" si="3"/>
        <v>0</v>
      </c>
      <c r="EH2" s="842">
        <f t="shared" si="3"/>
        <v>0</v>
      </c>
      <c r="EI2" s="842">
        <f t="shared" si="3"/>
        <v>0</v>
      </c>
      <c r="EJ2" s="842">
        <f t="shared" si="3"/>
        <v>0</v>
      </c>
      <c r="EK2" s="842">
        <f t="shared" si="3"/>
        <v>0</v>
      </c>
      <c r="EL2" s="842">
        <f t="shared" si="3"/>
        <v>0</v>
      </c>
      <c r="EM2" s="842">
        <f t="shared" si="3"/>
        <v>0</v>
      </c>
      <c r="EN2" s="842">
        <f t="shared" si="3"/>
        <v>0</v>
      </c>
      <c r="EO2" s="842">
        <f t="shared" si="3"/>
        <v>0</v>
      </c>
      <c r="EP2" s="842">
        <f t="shared" si="3"/>
        <v>0</v>
      </c>
      <c r="EQ2" s="842">
        <f>SUBTOTAL(9,EQ15:EQ3551)</f>
        <v>0</v>
      </c>
      <c r="ER2" s="842">
        <f>SUBTOTAL(9,ER15:ER3551)</f>
        <v>0</v>
      </c>
      <c r="ES2" s="842">
        <f t="shared" ref="ES2:EV2" si="4">SUBTOTAL(9,ES15:ES3551)</f>
        <v>0</v>
      </c>
      <c r="ET2" s="842">
        <f t="shared" si="4"/>
        <v>0</v>
      </c>
      <c r="EU2" s="842">
        <f t="shared" si="4"/>
        <v>0</v>
      </c>
      <c r="EV2" s="842">
        <f t="shared" si="4"/>
        <v>0</v>
      </c>
      <c r="EW2" s="842">
        <f t="shared" ref="EW2:FE2" si="5">SUBTOTAL(3,EW15:EW3551)</f>
        <v>1</v>
      </c>
      <c r="EX2" s="842">
        <f t="shared" si="5"/>
        <v>1</v>
      </c>
      <c r="EY2" s="842">
        <f t="shared" si="5"/>
        <v>0</v>
      </c>
      <c r="EZ2" s="842">
        <f t="shared" si="5"/>
        <v>1</v>
      </c>
      <c r="FA2" s="842">
        <f t="shared" si="5"/>
        <v>1</v>
      </c>
      <c r="FB2" s="842">
        <f t="shared" si="5"/>
        <v>0</v>
      </c>
      <c r="FC2" s="842">
        <f t="shared" si="5"/>
        <v>1</v>
      </c>
      <c r="FD2" s="842">
        <f t="shared" si="5"/>
        <v>1</v>
      </c>
      <c r="FE2" s="842">
        <f t="shared" si="5"/>
        <v>0</v>
      </c>
      <c r="FF2" s="842">
        <f t="shared" ref="FF2:FT2" si="6">SUBTOTAL(9,FF15:FF3551)</f>
        <v>1</v>
      </c>
      <c r="FG2" s="842">
        <f t="shared" si="6"/>
        <v>10535</v>
      </c>
      <c r="FH2" s="842">
        <f t="shared" si="6"/>
        <v>2355</v>
      </c>
      <c r="FI2" s="842">
        <f t="shared" si="6"/>
        <v>8180</v>
      </c>
      <c r="FJ2" s="842">
        <f t="shared" si="6"/>
        <v>63210</v>
      </c>
      <c r="FK2" s="842">
        <f t="shared" si="6"/>
        <v>0</v>
      </c>
      <c r="FL2" s="842">
        <f t="shared" si="6"/>
        <v>0</v>
      </c>
      <c r="FM2" s="842">
        <f t="shared" si="6"/>
        <v>0</v>
      </c>
      <c r="FN2" s="842">
        <f t="shared" si="6"/>
        <v>0</v>
      </c>
      <c r="FO2" s="842">
        <f t="shared" si="6"/>
        <v>0</v>
      </c>
      <c r="FP2" s="842">
        <f t="shared" si="6"/>
        <v>0</v>
      </c>
      <c r="FQ2" s="842">
        <f t="shared" si="6"/>
        <v>0</v>
      </c>
      <c r="FR2" s="842">
        <f t="shared" si="6"/>
        <v>0</v>
      </c>
      <c r="FS2" s="842">
        <f t="shared" si="6"/>
        <v>0</v>
      </c>
      <c r="FT2" s="842">
        <f t="shared" si="6"/>
        <v>0</v>
      </c>
      <c r="FU2" s="842">
        <f>SUBTOTAL(3,FU15:FU3551)</f>
        <v>0</v>
      </c>
      <c r="FV2" s="842">
        <f t="shared" ref="FV2:GF2" si="7">SUBTOTAL(9,FV15:FV3551)</f>
        <v>0</v>
      </c>
      <c r="FW2" s="842">
        <f t="shared" si="7"/>
        <v>0</v>
      </c>
      <c r="FX2" s="842">
        <f t="shared" si="7"/>
        <v>0</v>
      </c>
      <c r="FY2" s="842">
        <f t="shared" si="7"/>
        <v>0</v>
      </c>
      <c r="FZ2" s="842">
        <f t="shared" si="7"/>
        <v>0</v>
      </c>
      <c r="GA2" s="842">
        <f t="shared" si="7"/>
        <v>0</v>
      </c>
      <c r="GB2" s="842">
        <f t="shared" si="7"/>
        <v>0</v>
      </c>
      <c r="GC2" s="842">
        <f t="shared" si="7"/>
        <v>0</v>
      </c>
      <c r="GD2" s="842">
        <f t="shared" si="7"/>
        <v>0</v>
      </c>
      <c r="GE2" s="842">
        <f t="shared" si="7"/>
        <v>0</v>
      </c>
      <c r="GF2" s="842">
        <f t="shared" si="7"/>
        <v>0</v>
      </c>
      <c r="GG2" s="842">
        <f>SUBTOTAL(3,GG15:GG3551)</f>
        <v>0</v>
      </c>
      <c r="GH2" s="842">
        <f t="shared" ref="GH2:GT2" si="8">SUBTOTAL(9,GH15:GH3551)</f>
        <v>1</v>
      </c>
      <c r="GI2" s="842">
        <f t="shared" si="8"/>
        <v>100000</v>
      </c>
      <c r="GJ2" s="842">
        <f t="shared" si="8"/>
        <v>1000000</v>
      </c>
      <c r="GK2" s="842">
        <f t="shared" si="8"/>
        <v>0</v>
      </c>
      <c r="GL2" s="842">
        <f>SUBTOTAL(9,GL15:GL3551)</f>
        <v>2</v>
      </c>
      <c r="GM2" s="842">
        <f t="shared" si="8"/>
        <v>0</v>
      </c>
      <c r="GN2" s="842">
        <f t="shared" si="8"/>
        <v>0</v>
      </c>
      <c r="GO2" s="842">
        <f t="shared" si="8"/>
        <v>0</v>
      </c>
      <c r="GP2" s="842">
        <f t="shared" si="8"/>
        <v>0</v>
      </c>
      <c r="GQ2" s="842">
        <f t="shared" si="8"/>
        <v>0</v>
      </c>
      <c r="GR2" s="842">
        <f t="shared" si="8"/>
        <v>0</v>
      </c>
      <c r="GS2" s="842">
        <f t="shared" si="8"/>
        <v>0</v>
      </c>
      <c r="GT2" s="842">
        <f t="shared" si="8"/>
        <v>0</v>
      </c>
      <c r="GU2" s="842">
        <f>SUBTOTAL(3,GU15:GU3551)</f>
        <v>1</v>
      </c>
      <c r="GV2" s="842">
        <f>SUBTOTAL(3,GV15:GV3551)</f>
        <v>1</v>
      </c>
      <c r="GW2" s="842">
        <f>SUBTOTAL(3,GW15:GW3551)</f>
        <v>0</v>
      </c>
      <c r="GX2" s="842">
        <f>SUBTOTAL(9,GX15:GX3551)</f>
        <v>1</v>
      </c>
      <c r="GY2" s="842">
        <f>SUBTOTAL(9,GY15:GY3551)</f>
        <v>10535</v>
      </c>
      <c r="GZ2" s="842">
        <f>SUBTOTAL(9,GZ15:GZ3551)</f>
        <v>52675</v>
      </c>
      <c r="HA2" s="842">
        <f>SUBTOTAL(9,HA15:HA3551)</f>
        <v>0</v>
      </c>
      <c r="HB2" s="842">
        <f>SUBTOTAL(3,HB15:HB3551)</f>
        <v>1</v>
      </c>
      <c r="HC2" s="842">
        <f>SUBTOTAL(3,HC15:HC3551)</f>
        <v>1</v>
      </c>
      <c r="HD2" s="842">
        <f>SUBTOTAL(3,HD15:HD3551)</f>
        <v>0</v>
      </c>
      <c r="HE2" s="842">
        <f>SUBTOTAL(9,HE15:HE3551)</f>
        <v>1</v>
      </c>
      <c r="HF2" s="842">
        <f>SUBTOTAL(9,HF15:HF3551)</f>
        <v>57675</v>
      </c>
      <c r="HG2" s="842">
        <f>SUBTOTAL(9,HG15:HG3551)</f>
        <v>0</v>
      </c>
      <c r="HH2" s="842">
        <f>SUBTOTAL(9,HH15:HH3551)</f>
        <v>0</v>
      </c>
      <c r="HI2" s="842">
        <f>SUBTOTAL(3,HI15:HI3551)</f>
        <v>1</v>
      </c>
      <c r="HJ2" s="842">
        <f>SUBTOTAL(3,HJ15:HJ3551)</f>
        <v>1</v>
      </c>
      <c r="HK2" s="842">
        <f>SUBTOTAL(3,HK15:HK3551)</f>
        <v>0</v>
      </c>
      <c r="HL2" s="842">
        <f>SUBTOTAL(9,HL15:HL3551)</f>
        <v>1</v>
      </c>
      <c r="HM2" s="842">
        <f>SUBTOTAL(9,HM15:HM246551)</f>
        <v>0</v>
      </c>
      <c r="HN2" s="842">
        <f>SUBTOTAL(9,HN15:HN246551)</f>
        <v>1190373</v>
      </c>
      <c r="HO2" s="867">
        <f>SUBTOTAL(9,HO15:HO246551)</f>
        <v>0</v>
      </c>
      <c r="HP2" s="842">
        <f>SUBTOTAL(9,HP15:HP246551)</f>
        <v>1150373</v>
      </c>
      <c r="HQ2" s="844">
        <f>HP2/HN2</f>
        <v>0.96639708729952711</v>
      </c>
      <c r="HR2" s="842">
        <f t="shared" ref="HR2:IK2" si="9">SUBTOTAL(9,HR15:HR3551)</f>
        <v>40000</v>
      </c>
      <c r="HS2" s="842">
        <f t="shared" si="9"/>
        <v>0</v>
      </c>
      <c r="HT2" s="842">
        <f t="shared" si="9"/>
        <v>1190373</v>
      </c>
      <c r="HU2" s="842">
        <f t="shared" si="9"/>
        <v>0</v>
      </c>
      <c r="HV2" s="842">
        <f t="shared" si="9"/>
        <v>4000000</v>
      </c>
      <c r="HW2" s="842">
        <f t="shared" si="9"/>
        <v>300000</v>
      </c>
      <c r="HX2" s="842">
        <f t="shared" si="9"/>
        <v>30000</v>
      </c>
      <c r="HY2" s="842">
        <f t="shared" si="9"/>
        <v>1000000</v>
      </c>
      <c r="HZ2" s="842">
        <f t="shared" si="9"/>
        <v>800000</v>
      </c>
      <c r="IA2" s="842">
        <f t="shared" si="9"/>
        <v>500000</v>
      </c>
      <c r="IB2" s="842">
        <f t="shared" si="9"/>
        <v>500000</v>
      </c>
      <c r="IC2" s="842">
        <f t="shared" si="9"/>
        <v>600000</v>
      </c>
      <c r="ID2" s="842">
        <f t="shared" si="9"/>
        <v>30000</v>
      </c>
      <c r="IE2" s="842">
        <f t="shared" si="9"/>
        <v>20000</v>
      </c>
      <c r="IF2" s="842">
        <f t="shared" si="9"/>
        <v>100000</v>
      </c>
      <c r="IG2" s="842">
        <f t="shared" si="9"/>
        <v>20000</v>
      </c>
      <c r="IH2" s="842">
        <f t="shared" si="9"/>
        <v>100000</v>
      </c>
      <c r="II2" s="842">
        <f t="shared" si="9"/>
        <v>0</v>
      </c>
      <c r="IJ2" s="867">
        <f t="shared" si="9"/>
        <v>0</v>
      </c>
      <c r="IK2" s="842">
        <f t="shared" si="9"/>
        <v>0</v>
      </c>
      <c r="IL2" s="841">
        <f>COUNTIF(IL15:IL3551,"&gt;0")</f>
        <v>1</v>
      </c>
      <c r="IM2" s="842">
        <f t="shared" ref="IM2:IV2" si="10">SUBTOTAL(9,IM15:IM3551)</f>
        <v>1</v>
      </c>
      <c r="IN2" s="842">
        <f t="shared" si="10"/>
        <v>1</v>
      </c>
      <c r="IO2" s="873">
        <f t="shared" si="10"/>
        <v>0</v>
      </c>
      <c r="IP2" s="842">
        <f t="shared" si="10"/>
        <v>0</v>
      </c>
      <c r="IQ2" s="842">
        <f t="shared" si="10"/>
        <v>0</v>
      </c>
      <c r="IR2" s="842">
        <f t="shared" si="10"/>
        <v>1</v>
      </c>
      <c r="IS2" s="842">
        <f t="shared" si="10"/>
        <v>0</v>
      </c>
      <c r="IT2" s="842">
        <f t="shared" si="10"/>
        <v>0</v>
      </c>
      <c r="IU2" s="842">
        <f t="shared" si="10"/>
        <v>0</v>
      </c>
      <c r="IV2" s="873">
        <f t="shared" si="10"/>
        <v>0</v>
      </c>
      <c r="IW2" s="841">
        <f>COUNTIF(IW15:IW3551,"&gt;0")</f>
        <v>1</v>
      </c>
      <c r="IX2" s="842">
        <f>SUBTOTAL(9,IX15:IX3551)</f>
        <v>1</v>
      </c>
      <c r="IY2" s="842">
        <f>SUBTOTAL(9,IY15:IY3551)</f>
        <v>1</v>
      </c>
      <c r="IZ2" s="842">
        <f>SUBTOTAL(9,IZ15:IZ3551)</f>
        <v>1</v>
      </c>
      <c r="JA2" s="841">
        <f>COUNTIF(JA15:JA3551,"&gt;0")</f>
        <v>1</v>
      </c>
      <c r="JB2" s="842">
        <f t="shared" ref="JB2:JK2" si="11">SUBTOTAL(9,JB15:JB3551)</f>
        <v>1</v>
      </c>
      <c r="JC2" s="842">
        <f t="shared" si="11"/>
        <v>0</v>
      </c>
      <c r="JD2" s="842">
        <f t="shared" si="11"/>
        <v>0</v>
      </c>
      <c r="JE2" s="842">
        <f t="shared" si="11"/>
        <v>0</v>
      </c>
      <c r="JF2" s="842">
        <f t="shared" si="11"/>
        <v>0</v>
      </c>
      <c r="JG2" s="842">
        <f t="shared" si="11"/>
        <v>0</v>
      </c>
      <c r="JH2" s="842">
        <f t="shared" si="11"/>
        <v>0</v>
      </c>
      <c r="JI2" s="842">
        <f t="shared" si="11"/>
        <v>0</v>
      </c>
      <c r="JJ2" s="873">
        <f t="shared" si="11"/>
        <v>0</v>
      </c>
      <c r="JK2" s="842">
        <f t="shared" si="11"/>
        <v>0</v>
      </c>
      <c r="JL2" s="841">
        <f>COUNTIF(JL15:JL3551,"&gt;0")</f>
        <v>1</v>
      </c>
      <c r="JM2" s="842">
        <f>SUBTOTAL(9,JM15:JM3551)</f>
        <v>1</v>
      </c>
      <c r="JN2" s="842">
        <f>SUBTOTAL(9,JN15:JN3551)</f>
        <v>1</v>
      </c>
      <c r="JO2" s="842">
        <f>SUBTOTAL(9,JO15:JO3551)</f>
        <v>0</v>
      </c>
      <c r="JP2" s="842">
        <f>SUBTOTAL(9,JP15:JP3551)</f>
        <v>0</v>
      </c>
      <c r="JQ2" s="842">
        <f>SUBTOTAL(9,JQ15:JQ3551)</f>
        <v>0</v>
      </c>
      <c r="JR2" s="841">
        <f>COUNTIF(JR15:JR3551,"&gt;0")</f>
        <v>1</v>
      </c>
      <c r="JS2" s="842">
        <f t="shared" ref="JS2:KB2" si="12">SUBTOTAL(9,JS15:JS3551)</f>
        <v>1</v>
      </c>
      <c r="JT2" s="842">
        <f t="shared" si="12"/>
        <v>0</v>
      </c>
      <c r="JU2" s="842">
        <f t="shared" si="12"/>
        <v>0</v>
      </c>
      <c r="JV2" s="842">
        <f t="shared" si="12"/>
        <v>0</v>
      </c>
      <c r="JW2" s="842">
        <f t="shared" si="12"/>
        <v>0</v>
      </c>
      <c r="JX2" s="842">
        <f t="shared" si="12"/>
        <v>0</v>
      </c>
      <c r="JY2" s="842">
        <f t="shared" si="12"/>
        <v>0</v>
      </c>
      <c r="JZ2" s="842">
        <f t="shared" si="12"/>
        <v>1</v>
      </c>
      <c r="KA2" s="842">
        <f t="shared" si="12"/>
        <v>0</v>
      </c>
      <c r="KB2" s="842">
        <f t="shared" si="12"/>
        <v>0</v>
      </c>
      <c r="KC2" s="842">
        <f>SUBTOTAL(3,KC15:KC3551)</f>
        <v>1</v>
      </c>
      <c r="KD2" s="841">
        <f>COUNTIF(KD15:KD3551,"&gt;0")</f>
        <v>0</v>
      </c>
      <c r="KE2" s="841">
        <f>COUNTIF(KE15:KE3551,"&gt;0")</f>
        <v>1</v>
      </c>
      <c r="KF2" s="841">
        <f>COUNTIF(KF15:KF3551,"&gt;0")</f>
        <v>1</v>
      </c>
      <c r="KG2" s="841">
        <f>COUNTIF(KG15:KG3551,"&gt;0")</f>
        <v>1</v>
      </c>
      <c r="KH2" s="842">
        <f t="shared" ref="KH2:LB2" si="13">SUBTOTAL(9,KH15:KH3551)</f>
        <v>0</v>
      </c>
      <c r="KI2" s="842">
        <f t="shared" si="13"/>
        <v>3</v>
      </c>
      <c r="KJ2" s="772">
        <f t="shared" si="13"/>
        <v>122.25</v>
      </c>
      <c r="KK2" s="842">
        <f t="shared" si="13"/>
        <v>1</v>
      </c>
      <c r="KL2" s="842">
        <f t="shared" si="13"/>
        <v>1</v>
      </c>
      <c r="KM2" s="842">
        <f t="shared" si="13"/>
        <v>0</v>
      </c>
      <c r="KN2" s="842">
        <f t="shared" si="13"/>
        <v>1</v>
      </c>
      <c r="KO2" s="842">
        <f t="shared" si="13"/>
        <v>0</v>
      </c>
      <c r="KP2" s="842">
        <f t="shared" si="13"/>
        <v>1</v>
      </c>
      <c r="KQ2" s="842">
        <f>SUBTOTAL(9,KQ15:KQ3551)</f>
        <v>0</v>
      </c>
      <c r="KR2" s="842">
        <f>SUBTOTAL(3,KR15:KR3551)</f>
        <v>1</v>
      </c>
      <c r="KS2" s="842">
        <f t="shared" si="13"/>
        <v>1</v>
      </c>
      <c r="KT2" s="842">
        <f t="shared" si="13"/>
        <v>0</v>
      </c>
      <c r="KU2" s="842">
        <f t="shared" si="13"/>
        <v>0</v>
      </c>
      <c r="KV2" s="842">
        <f t="shared" si="13"/>
        <v>0</v>
      </c>
      <c r="KW2" s="842">
        <f t="shared" si="13"/>
        <v>1</v>
      </c>
      <c r="KX2" s="842">
        <f t="shared" si="13"/>
        <v>1</v>
      </c>
      <c r="KY2" s="842"/>
      <c r="KZ2" s="842"/>
      <c r="LA2" s="842"/>
      <c r="LB2" s="842">
        <f t="shared" si="13"/>
        <v>0</v>
      </c>
      <c r="LC2" s="842">
        <f>SUBTOTAL(3,LC15:LC3551)</f>
        <v>1</v>
      </c>
      <c r="LD2" s="842">
        <f t="shared" ref="LD2:LP2" si="14">SUBTOTAL(9,LD15:LD3551)</f>
        <v>1</v>
      </c>
      <c r="LE2" s="842">
        <f t="shared" si="14"/>
        <v>1</v>
      </c>
      <c r="LF2" s="842">
        <f t="shared" si="14"/>
        <v>0</v>
      </c>
      <c r="LG2" s="842">
        <f t="shared" si="14"/>
        <v>0</v>
      </c>
      <c r="LH2" s="842">
        <f>SUBTOTAL(9,LH15:LH3551)</f>
        <v>0</v>
      </c>
      <c r="LI2" s="842">
        <f t="shared" si="14"/>
        <v>0</v>
      </c>
      <c r="LJ2" s="842">
        <f t="shared" si="14"/>
        <v>0</v>
      </c>
      <c r="LK2" s="842">
        <f t="shared" si="14"/>
        <v>1</v>
      </c>
      <c r="LL2" s="842">
        <f t="shared" si="14"/>
        <v>0</v>
      </c>
      <c r="LM2" s="842">
        <f t="shared" si="14"/>
        <v>0</v>
      </c>
      <c r="LN2" s="842">
        <f t="shared" si="14"/>
        <v>0</v>
      </c>
      <c r="LO2" s="842">
        <f t="shared" si="14"/>
        <v>0</v>
      </c>
      <c r="LP2" s="842">
        <f t="shared" si="14"/>
        <v>0</v>
      </c>
      <c r="LQ2" s="842">
        <f>SUBTOTAL(3,LQ15:LQ3551)</f>
        <v>1</v>
      </c>
      <c r="LR2" s="842">
        <f t="shared" ref="LR2:LX2" si="15">SUBTOTAL(9,LR15:LR3551)</f>
        <v>3</v>
      </c>
      <c r="LS2" s="842">
        <f t="shared" si="15"/>
        <v>119.55</v>
      </c>
      <c r="LT2" s="842">
        <f t="shared" si="15"/>
        <v>0</v>
      </c>
      <c r="LU2" s="842">
        <f t="shared" si="15"/>
        <v>1</v>
      </c>
      <c r="LV2" s="842">
        <f t="shared" si="15"/>
        <v>0</v>
      </c>
      <c r="LW2" s="842">
        <f t="shared" si="15"/>
        <v>1</v>
      </c>
      <c r="LX2" s="842">
        <f t="shared" si="15"/>
        <v>0</v>
      </c>
      <c r="LY2" s="842">
        <f>SUBTOTAL(3,LY15:LY3551)</f>
        <v>1</v>
      </c>
      <c r="LZ2" s="842">
        <f t="shared" ref="LZ2:MF2" si="16">SUBTOTAL(9,LZ15:LZ3551)</f>
        <v>1</v>
      </c>
      <c r="MA2" s="842">
        <f t="shared" si="16"/>
        <v>0</v>
      </c>
      <c r="MB2" s="842">
        <f t="shared" si="16"/>
        <v>1</v>
      </c>
      <c r="MC2" s="842">
        <f t="shared" si="16"/>
        <v>0</v>
      </c>
      <c r="MD2" s="842">
        <f t="shared" si="16"/>
        <v>1</v>
      </c>
      <c r="ME2" s="842">
        <f t="shared" si="16"/>
        <v>1</v>
      </c>
      <c r="MF2" s="842">
        <f t="shared" si="16"/>
        <v>1</v>
      </c>
      <c r="MG2" s="842">
        <f>SUBTOTAL(3,MG15:MG3551)</f>
        <v>1</v>
      </c>
      <c r="MH2" s="842">
        <f>SUBTOTAL(3,MH15:MH3551)</f>
        <v>1</v>
      </c>
      <c r="MN2" s="842">
        <f t="shared" ref="MN2" si="17">SUBTOTAL(9,MN15:MN3551)</f>
        <v>0</v>
      </c>
    </row>
    <row r="3" spans="1:392" s="841" customFormat="1" ht="6.6" customHeight="1" x14ac:dyDescent="0.15">
      <c r="K3" s="842"/>
      <c r="L3" s="842"/>
      <c r="M3" s="842"/>
      <c r="N3" s="867"/>
      <c r="O3" s="867"/>
      <c r="P3" s="842"/>
      <c r="Q3" s="842"/>
      <c r="R3" s="842"/>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c r="AY3" s="842"/>
      <c r="AZ3" s="842"/>
      <c r="BA3" s="842"/>
      <c r="BB3" s="842"/>
      <c r="BC3" s="842"/>
      <c r="BD3" s="842"/>
      <c r="BE3" s="842"/>
      <c r="BF3" s="842"/>
      <c r="BG3" s="842"/>
      <c r="BH3" s="842"/>
      <c r="BI3" s="842"/>
      <c r="BJ3" s="842"/>
      <c r="BK3" s="842"/>
      <c r="BL3" s="842"/>
      <c r="BM3" s="842"/>
      <c r="BN3" s="842"/>
      <c r="BO3" s="842"/>
      <c r="BP3" s="842"/>
      <c r="BQ3" s="842"/>
      <c r="BR3" s="842"/>
      <c r="BS3" s="842"/>
      <c r="BT3" s="842"/>
      <c r="BU3" s="842"/>
      <c r="BV3" s="842"/>
      <c r="BW3" s="842"/>
      <c r="BX3" s="842"/>
      <c r="BY3" s="842"/>
      <c r="BZ3" s="842"/>
      <c r="CA3" s="842"/>
      <c r="CB3" s="842"/>
      <c r="CC3" s="842"/>
      <c r="CD3" s="842"/>
      <c r="CE3" s="842"/>
      <c r="CF3" s="842"/>
      <c r="CG3" s="842"/>
      <c r="CH3" s="842"/>
      <c r="CI3" s="842"/>
      <c r="CJ3" s="842"/>
      <c r="CK3" s="842"/>
      <c r="CL3" s="842"/>
      <c r="CM3" s="842"/>
      <c r="CN3" s="842"/>
      <c r="CO3" s="842"/>
      <c r="CP3" s="842"/>
      <c r="CQ3" s="842"/>
      <c r="CR3" s="842"/>
      <c r="CS3" s="842"/>
      <c r="CT3" s="842"/>
      <c r="CU3" s="842"/>
      <c r="CV3" s="842"/>
      <c r="CW3" s="842"/>
      <c r="CX3" s="842"/>
      <c r="CY3" s="842"/>
      <c r="CZ3" s="842"/>
      <c r="DA3" s="842"/>
      <c r="DB3" s="842"/>
      <c r="DC3" s="842"/>
      <c r="DD3" s="842"/>
      <c r="DE3" s="842"/>
      <c r="DF3" s="842"/>
      <c r="DG3" s="842"/>
      <c r="DH3" s="842"/>
      <c r="DI3" s="842"/>
      <c r="DJ3" s="842"/>
      <c r="DK3" s="842"/>
      <c r="DL3" s="842"/>
      <c r="DM3" s="842"/>
      <c r="DN3" s="842"/>
      <c r="DO3" s="842"/>
      <c r="DP3" s="867"/>
      <c r="DQ3" s="867"/>
      <c r="DR3" s="842"/>
      <c r="DS3" s="842"/>
      <c r="DT3" s="842"/>
      <c r="DU3" s="842"/>
      <c r="DV3" s="842"/>
      <c r="DW3" s="842"/>
      <c r="DX3" s="842"/>
      <c r="DY3" s="842"/>
      <c r="DZ3" s="842"/>
      <c r="EA3" s="842"/>
      <c r="EB3" s="842"/>
      <c r="EC3" s="842"/>
      <c r="ED3" s="842"/>
      <c r="EE3" s="842"/>
      <c r="EF3" s="842"/>
      <c r="EG3" s="842"/>
      <c r="EH3" s="842"/>
      <c r="EI3" s="842"/>
      <c r="EJ3" s="842"/>
      <c r="EK3" s="842"/>
      <c r="EL3" s="842"/>
      <c r="EM3" s="842"/>
      <c r="EN3" s="842"/>
      <c r="EO3" s="842"/>
      <c r="EP3" s="867"/>
      <c r="EQ3" s="867"/>
      <c r="ER3" s="867"/>
      <c r="ES3" s="867"/>
      <c r="ET3" s="867"/>
      <c r="EU3" s="867"/>
      <c r="EV3" s="867"/>
      <c r="EW3" s="867"/>
      <c r="EX3" s="867"/>
      <c r="EY3" s="867"/>
      <c r="EZ3" s="867"/>
      <c r="FA3" s="867"/>
      <c r="FB3" s="867"/>
      <c r="FC3" s="867"/>
      <c r="FD3" s="867"/>
      <c r="FE3" s="867"/>
      <c r="FF3" s="842"/>
      <c r="FG3" s="842"/>
      <c r="FH3" s="842"/>
      <c r="FI3" s="842"/>
      <c r="FJ3" s="842"/>
      <c r="FK3" s="867"/>
      <c r="FL3" s="867"/>
      <c r="FM3" s="867"/>
      <c r="FN3" s="867"/>
      <c r="FO3" s="867"/>
      <c r="FP3" s="867"/>
      <c r="FQ3" s="867"/>
      <c r="FR3" s="867"/>
      <c r="FS3" s="867"/>
      <c r="FT3" s="867"/>
      <c r="FU3" s="867"/>
      <c r="FV3" s="867"/>
      <c r="FW3" s="867"/>
      <c r="FX3" s="867"/>
      <c r="FY3" s="867"/>
      <c r="FZ3" s="867"/>
      <c r="GA3" s="867"/>
      <c r="GB3" s="867"/>
      <c r="GC3" s="867"/>
      <c r="GD3" s="867"/>
      <c r="GE3" s="867"/>
      <c r="GF3" s="867"/>
      <c r="GG3" s="867"/>
      <c r="GH3" s="842"/>
      <c r="GI3" s="873"/>
      <c r="GJ3" s="842"/>
      <c r="GK3" s="867"/>
      <c r="GL3" s="842"/>
      <c r="GM3" s="842"/>
      <c r="GN3" s="867"/>
      <c r="GO3" s="867"/>
      <c r="GP3" s="867"/>
      <c r="GQ3" s="867"/>
      <c r="GR3" s="867"/>
      <c r="GS3" s="867"/>
      <c r="GT3" s="867"/>
      <c r="GU3" s="867"/>
      <c r="GV3" s="867"/>
      <c r="GW3" s="867"/>
      <c r="GX3" s="842"/>
      <c r="GY3" s="873"/>
      <c r="GZ3" s="842"/>
      <c r="HA3" s="867"/>
      <c r="HB3" s="867"/>
      <c r="HC3" s="867"/>
      <c r="HD3" s="867"/>
      <c r="HE3" s="842"/>
      <c r="HF3" s="873"/>
      <c r="HG3" s="842"/>
      <c r="HH3" s="867"/>
      <c r="HI3" s="867"/>
      <c r="HJ3" s="867"/>
      <c r="HK3" s="867"/>
      <c r="HL3" s="842"/>
      <c r="HM3" s="842"/>
      <c r="HN3" s="842"/>
      <c r="HO3" s="867"/>
      <c r="HP3" s="842"/>
      <c r="HQ3" s="844"/>
      <c r="HR3" s="842"/>
      <c r="HS3" s="842"/>
      <c r="HT3" s="842"/>
      <c r="HU3" s="842"/>
      <c r="HV3" s="842"/>
      <c r="HW3" s="842"/>
      <c r="HX3" s="842"/>
      <c r="HY3" s="842"/>
      <c r="HZ3" s="842"/>
      <c r="IA3" s="842"/>
      <c r="IB3" s="842"/>
      <c r="IC3" s="842"/>
      <c r="ID3" s="842"/>
      <c r="IE3" s="842"/>
      <c r="IF3" s="842"/>
      <c r="IG3" s="842"/>
      <c r="IH3" s="842"/>
      <c r="II3" s="842"/>
      <c r="IJ3" s="867"/>
      <c r="IK3" s="842"/>
      <c r="IM3" s="842"/>
      <c r="IN3" s="842"/>
      <c r="IO3" s="873"/>
      <c r="IP3" s="842"/>
      <c r="IQ3" s="842"/>
      <c r="IR3" s="842"/>
      <c r="IS3" s="842"/>
      <c r="IT3" s="842"/>
      <c r="IU3" s="842"/>
      <c r="IV3" s="873"/>
      <c r="IX3" s="842"/>
      <c r="IY3" s="842"/>
      <c r="IZ3" s="842"/>
      <c r="JB3" s="842"/>
      <c r="JC3" s="842"/>
      <c r="JD3" s="842"/>
      <c r="JE3" s="842"/>
      <c r="JF3" s="842"/>
      <c r="JG3" s="842"/>
      <c r="JH3" s="842"/>
      <c r="JI3" s="842"/>
      <c r="JJ3" s="873"/>
      <c r="JK3" s="842"/>
      <c r="JM3" s="842"/>
      <c r="JN3" s="842"/>
      <c r="JO3" s="842"/>
      <c r="JP3" s="842"/>
      <c r="JQ3" s="842"/>
      <c r="JS3" s="842"/>
      <c r="JT3" s="842"/>
      <c r="JU3" s="842"/>
      <c r="JV3" s="842"/>
      <c r="JW3" s="842"/>
      <c r="JX3" s="842"/>
      <c r="JY3" s="842"/>
      <c r="JZ3" s="842"/>
      <c r="KA3" s="842"/>
      <c r="KB3" s="842"/>
      <c r="KC3" s="843"/>
      <c r="KH3" s="842"/>
      <c r="KI3" s="842"/>
      <c r="KJ3" s="842"/>
      <c r="KK3" s="842"/>
      <c r="KL3" s="842"/>
      <c r="KM3" s="842"/>
      <c r="KN3" s="842"/>
      <c r="KO3" s="842"/>
      <c r="KP3" s="842"/>
      <c r="KQ3" s="842"/>
      <c r="KR3" s="842"/>
      <c r="KS3" s="842"/>
      <c r="KT3" s="842"/>
      <c r="KU3" s="842"/>
      <c r="KV3" s="842"/>
      <c r="KW3" s="842"/>
      <c r="KX3" s="842"/>
      <c r="KY3" s="842"/>
      <c r="KZ3" s="842"/>
      <c r="LA3" s="842"/>
      <c r="LB3" s="842"/>
      <c r="LC3" s="842"/>
      <c r="LD3" s="842"/>
      <c r="LE3" s="842"/>
      <c r="LF3" s="842"/>
      <c r="LG3" s="842"/>
      <c r="LH3" s="842"/>
      <c r="LI3" s="842"/>
      <c r="LJ3" s="842"/>
      <c r="LK3" s="842"/>
      <c r="LL3" s="842"/>
      <c r="LM3" s="842"/>
      <c r="LN3" s="842"/>
      <c r="LO3" s="842"/>
      <c r="LP3" s="842"/>
      <c r="LQ3" s="842"/>
      <c r="LR3" s="842"/>
      <c r="LS3" s="842"/>
      <c r="LT3" s="842"/>
      <c r="LU3" s="842"/>
      <c r="LV3" s="842"/>
      <c r="LW3" s="842"/>
      <c r="LX3" s="842"/>
      <c r="LY3" s="842"/>
      <c r="LZ3" s="842"/>
      <c r="MA3" s="842"/>
      <c r="MB3" s="842"/>
      <c r="MC3" s="842"/>
      <c r="MD3" s="842"/>
      <c r="ME3" s="842"/>
      <c r="MF3" s="842"/>
      <c r="MG3" s="842"/>
      <c r="MH3" s="843"/>
      <c r="MN3" s="842"/>
    </row>
    <row r="4" spans="1:392" s="763" customFormat="1" ht="24" customHeight="1" x14ac:dyDescent="0.15">
      <c r="A4" s="2355" t="s">
        <v>391</v>
      </c>
      <c r="B4" s="2356"/>
      <c r="C4" s="2356"/>
      <c r="D4" s="2356"/>
      <c r="E4" s="2356"/>
      <c r="F4" s="2356"/>
      <c r="G4" s="2356"/>
      <c r="H4" s="2356"/>
      <c r="I4" s="2356"/>
      <c r="J4" s="2356"/>
      <c r="K4" s="2370" t="s">
        <v>392</v>
      </c>
      <c r="L4" s="2371"/>
      <c r="M4" s="2371"/>
      <c r="N4" s="2371"/>
      <c r="O4" s="2371"/>
      <c r="P4" s="2371"/>
      <c r="Q4" s="2371"/>
      <c r="R4" s="2371"/>
      <c r="S4" s="2371"/>
      <c r="T4" s="2371"/>
      <c r="U4" s="2372"/>
      <c r="V4" s="2372"/>
      <c r="W4" s="2372"/>
      <c r="X4" s="2372"/>
      <c r="Y4" s="2372"/>
      <c r="Z4" s="2372"/>
      <c r="AA4" s="2372"/>
      <c r="AB4" s="2372"/>
      <c r="AC4" s="2372"/>
      <c r="AD4" s="2372"/>
      <c r="AE4" s="822" t="s">
        <v>533</v>
      </c>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c r="BZ4" s="821"/>
      <c r="CA4" s="821"/>
      <c r="CB4" s="821"/>
      <c r="CC4" s="821"/>
      <c r="CD4" s="821"/>
      <c r="CE4" s="821"/>
      <c r="CF4" s="821"/>
      <c r="CG4" s="821"/>
      <c r="CH4" s="821"/>
      <c r="CI4" s="821"/>
      <c r="CJ4" s="821"/>
      <c r="CK4" s="821"/>
      <c r="CL4" s="821"/>
      <c r="CM4" s="821"/>
      <c r="CN4" s="821"/>
      <c r="CO4" s="821"/>
      <c r="CP4" s="821"/>
      <c r="CQ4" s="821"/>
      <c r="CR4" s="821"/>
      <c r="CS4" s="821"/>
      <c r="CT4" s="821"/>
      <c r="CU4" s="821"/>
      <c r="CV4" s="821"/>
      <c r="CW4" s="821"/>
      <c r="CX4" s="821"/>
      <c r="CY4" s="821"/>
      <c r="CZ4" s="821"/>
      <c r="DA4" s="821"/>
      <c r="DB4" s="821"/>
      <c r="DC4" s="821"/>
      <c r="DD4" s="821"/>
      <c r="DE4" s="821"/>
      <c r="DF4" s="821"/>
      <c r="DG4" s="821"/>
      <c r="DH4" s="821"/>
      <c r="DI4" s="821"/>
      <c r="DJ4" s="821"/>
      <c r="DK4" s="821"/>
      <c r="DL4" s="821"/>
      <c r="DM4" s="821"/>
      <c r="DN4" s="821"/>
      <c r="DO4" s="821"/>
      <c r="DP4" s="897"/>
      <c r="DQ4" s="897"/>
      <c r="DR4" s="821"/>
      <c r="DS4" s="821"/>
      <c r="DT4" s="821"/>
      <c r="DU4" s="821"/>
      <c r="DV4" s="821"/>
      <c r="DW4" s="821"/>
      <c r="DX4" s="821"/>
      <c r="DY4" s="821"/>
      <c r="DZ4" s="821"/>
      <c r="EA4" s="821"/>
      <c r="EB4" s="821"/>
      <c r="EC4" s="821"/>
      <c r="ED4" s="821"/>
      <c r="EE4" s="821"/>
      <c r="EF4" s="821"/>
      <c r="EG4" s="821"/>
      <c r="EH4" s="821"/>
      <c r="EI4" s="821"/>
      <c r="EJ4" s="821"/>
      <c r="EK4" s="966" t="s">
        <v>607</v>
      </c>
      <c r="EL4" s="905"/>
      <c r="EM4" s="905"/>
      <c r="EN4" s="905"/>
      <c r="EO4" s="905"/>
      <c r="EP4" s="900"/>
      <c r="EQ4" s="900"/>
      <c r="ER4" s="900"/>
      <c r="ES4" s="900"/>
      <c r="ET4" s="900"/>
      <c r="EU4" s="900"/>
      <c r="EV4" s="900"/>
      <c r="EW4" s="2356"/>
      <c r="EX4" s="2356"/>
      <c r="EY4" s="2356"/>
      <c r="EZ4" s="2356"/>
      <c r="FA4" s="2356"/>
      <c r="FB4" s="2356"/>
      <c r="FC4" s="2356"/>
      <c r="FD4" s="2356"/>
      <c r="FE4" s="2356"/>
      <c r="FF4" s="2356"/>
      <c r="FG4" s="2356"/>
      <c r="FH4" s="2356"/>
      <c r="FI4" s="2356"/>
      <c r="FJ4" s="2356"/>
      <c r="FK4" s="2356"/>
      <c r="FL4" s="2373"/>
      <c r="FM4" s="2373"/>
      <c r="FN4" s="2373"/>
      <c r="FO4" s="2373"/>
      <c r="FP4" s="2373"/>
      <c r="FQ4" s="2373"/>
      <c r="FR4" s="2373"/>
      <c r="FS4" s="2373"/>
      <c r="FT4" s="2373"/>
      <c r="FU4" s="2373"/>
      <c r="FV4" s="2373"/>
      <c r="FW4" s="2373"/>
      <c r="FX4" s="2373"/>
      <c r="FY4" s="2373"/>
      <c r="FZ4" s="2373"/>
      <c r="GA4" s="2373"/>
      <c r="GB4" s="2373"/>
      <c r="GC4" s="2373"/>
      <c r="GD4" s="2373"/>
      <c r="GE4" s="2373"/>
      <c r="GF4" s="2373"/>
      <c r="GG4" s="2373"/>
      <c r="GH4" s="2373"/>
      <c r="GI4" s="2373"/>
      <c r="GJ4" s="2373"/>
      <c r="GK4" s="2373"/>
      <c r="GL4" s="2373"/>
      <c r="GM4" s="2373"/>
      <c r="GN4" s="2373"/>
      <c r="GO4" s="2373"/>
      <c r="GP4" s="2373"/>
      <c r="GQ4" s="2373"/>
      <c r="GR4" s="2373"/>
      <c r="GS4" s="2373"/>
      <c r="GT4" s="2373"/>
      <c r="GU4" s="2373"/>
      <c r="GV4" s="2373"/>
      <c r="GW4" s="2373"/>
      <c r="GX4" s="2373"/>
      <c r="GY4" s="2373"/>
      <c r="GZ4" s="2373"/>
      <c r="HA4" s="2373"/>
      <c r="HB4" s="2373"/>
      <c r="HC4" s="2373"/>
      <c r="HD4" s="2373"/>
      <c r="HE4" s="2373"/>
      <c r="HF4" s="2373"/>
      <c r="HG4" s="2373"/>
      <c r="HH4" s="2373"/>
      <c r="HI4" s="2373"/>
      <c r="HJ4" s="2373"/>
      <c r="HK4" s="2373"/>
      <c r="HL4" s="2370" t="s">
        <v>653</v>
      </c>
      <c r="HM4" s="2371"/>
      <c r="HN4" s="2371"/>
      <c r="HO4" s="2371"/>
      <c r="HP4" s="2371"/>
      <c r="HQ4" s="2371"/>
      <c r="HR4" s="2371"/>
      <c r="HS4" s="2371"/>
      <c r="HT4" s="2371"/>
      <c r="HU4" s="2371"/>
      <c r="HV4" s="2371"/>
      <c r="HW4" s="2371"/>
      <c r="HX4" s="2371"/>
      <c r="HY4" s="2371"/>
      <c r="HZ4" s="2371"/>
      <c r="IA4" s="2371"/>
      <c r="IB4" s="2371"/>
      <c r="IC4" s="2371"/>
      <c r="ID4" s="2371"/>
      <c r="IE4" s="2371"/>
      <c r="IF4" s="2371"/>
      <c r="IG4" s="2371"/>
      <c r="IH4" s="2371"/>
      <c r="II4" s="2371"/>
      <c r="IJ4" s="2371"/>
      <c r="IK4" s="2371"/>
      <c r="IL4" s="2374" t="s">
        <v>680</v>
      </c>
      <c r="IM4" s="2375"/>
      <c r="IN4" s="2375"/>
      <c r="IO4" s="2375"/>
      <c r="IP4" s="2375"/>
      <c r="IQ4" s="2375"/>
      <c r="IR4" s="2375"/>
      <c r="IS4" s="2375"/>
      <c r="IT4" s="2375"/>
      <c r="IU4" s="2375"/>
      <c r="IV4" s="2375"/>
      <c r="IW4" s="2375"/>
      <c r="IX4" s="2375"/>
      <c r="IY4" s="2375"/>
      <c r="IZ4" s="2375"/>
      <c r="JA4" s="2375"/>
      <c r="JB4" s="2375"/>
      <c r="JC4" s="2375"/>
      <c r="JD4" s="2375"/>
      <c r="JE4" s="2375"/>
      <c r="JF4" s="2375"/>
      <c r="JG4" s="2375"/>
      <c r="JH4" s="2375"/>
      <c r="JI4" s="2375"/>
      <c r="JJ4" s="2375"/>
      <c r="JK4" s="2375"/>
      <c r="JL4" s="2375"/>
      <c r="JM4" s="2375"/>
      <c r="JN4" s="2375"/>
      <c r="JO4" s="2375"/>
      <c r="JP4" s="2375"/>
      <c r="JQ4" s="2375"/>
      <c r="JR4" s="2375"/>
      <c r="JS4" s="2375"/>
      <c r="JT4" s="2375"/>
      <c r="JU4" s="2375"/>
      <c r="JV4" s="2375"/>
      <c r="JW4" s="2375"/>
      <c r="JX4" s="2375"/>
      <c r="JY4" s="2375"/>
      <c r="JZ4" s="2375"/>
      <c r="KA4" s="2375"/>
      <c r="KB4" s="2375"/>
      <c r="KC4" s="2376"/>
      <c r="KD4" s="2355" t="s">
        <v>768</v>
      </c>
      <c r="KE4" s="2356"/>
      <c r="KF4" s="2356"/>
      <c r="KG4" s="2356"/>
      <c r="KH4" s="2356"/>
      <c r="KI4" s="2356"/>
      <c r="KJ4" s="2356"/>
      <c r="KK4" s="2356"/>
      <c r="KL4" s="2356"/>
      <c r="KM4" s="2356"/>
      <c r="KN4" s="2356"/>
      <c r="KO4" s="2356"/>
      <c r="KP4" s="2356"/>
      <c r="KQ4" s="2356"/>
      <c r="KR4" s="2356"/>
      <c r="KS4" s="2356"/>
      <c r="KT4" s="2356"/>
      <c r="KU4" s="2356"/>
      <c r="KV4" s="2356"/>
      <c r="KW4" s="2356"/>
      <c r="KX4" s="2356"/>
      <c r="KY4" s="2356"/>
      <c r="KZ4" s="2356"/>
      <c r="LA4" s="2356"/>
      <c r="LB4" s="2356"/>
      <c r="LC4" s="2356"/>
      <c r="LD4" s="2356"/>
      <c r="LE4" s="2356"/>
      <c r="LF4" s="2356"/>
      <c r="LG4" s="2356"/>
      <c r="LH4" s="2356"/>
      <c r="LI4" s="2356"/>
      <c r="LJ4" s="2356"/>
      <c r="LK4" s="2356"/>
      <c r="LL4" s="2356"/>
      <c r="LM4" s="2356"/>
      <c r="LN4" s="2356"/>
      <c r="LO4" s="2356"/>
      <c r="LP4" s="2356"/>
      <c r="LQ4" s="2356"/>
      <c r="LR4" s="2356"/>
      <c r="LS4" s="2356"/>
      <c r="LT4" s="2356"/>
      <c r="LU4" s="2356"/>
      <c r="LV4" s="2356"/>
      <c r="LW4" s="2356"/>
      <c r="LX4" s="2356"/>
      <c r="LY4" s="2356"/>
      <c r="LZ4" s="2356"/>
      <c r="MA4" s="2356"/>
      <c r="MB4" s="2356"/>
      <c r="MC4" s="2356"/>
      <c r="MD4" s="2356"/>
      <c r="ME4" s="2356"/>
      <c r="MF4" s="2356"/>
      <c r="MG4" s="2356"/>
      <c r="MH4" s="2356"/>
      <c r="MI4" s="2356"/>
      <c r="MJ4" s="2356"/>
      <c r="MK4" s="2356"/>
      <c r="ML4" s="2356"/>
      <c r="MM4" s="2356"/>
      <c r="MN4" s="2356"/>
      <c r="MO4" s="2356"/>
      <c r="MP4" s="2356"/>
      <c r="MQ4" s="2356"/>
      <c r="MR4" s="2356"/>
      <c r="MS4" s="2356"/>
      <c r="MT4" s="2356"/>
      <c r="MU4" s="2356"/>
      <c r="MV4" s="2356"/>
      <c r="MW4" s="2356"/>
      <c r="MX4" s="2356"/>
      <c r="MY4" s="2356"/>
      <c r="MZ4" s="2356"/>
      <c r="NA4" s="2356"/>
      <c r="NB4" s="2356"/>
      <c r="NC4" s="2356"/>
      <c r="ND4" s="2356"/>
      <c r="NE4" s="2356"/>
      <c r="NF4" s="2356"/>
      <c r="NG4" s="2356"/>
      <c r="NH4" s="2356"/>
      <c r="NI4" s="2356"/>
      <c r="NJ4" s="2356"/>
      <c r="NK4" s="2356"/>
      <c r="NL4" s="2356"/>
      <c r="NM4" s="2356"/>
      <c r="NN4" s="2356"/>
      <c r="NO4" s="2356"/>
      <c r="NP4" s="2356"/>
      <c r="NQ4" s="2356"/>
      <c r="NR4" s="2356"/>
      <c r="NS4" s="2356"/>
      <c r="NT4" s="2356"/>
      <c r="NU4" s="2356"/>
      <c r="NV4" s="2356"/>
      <c r="NW4" s="2356"/>
      <c r="NX4" s="2356"/>
      <c r="NY4" s="2356"/>
      <c r="NZ4" s="2356"/>
      <c r="OA4" s="2356"/>
      <c r="OB4" s="2357" t="s">
        <v>1917</v>
      </c>
    </row>
    <row r="5" spans="1:392" s="763" customFormat="1" ht="13.5" customHeight="1" x14ac:dyDescent="0.15">
      <c r="A5" s="2360" t="s">
        <v>393</v>
      </c>
      <c r="B5" s="2362" t="s">
        <v>42</v>
      </c>
      <c r="C5" s="2362" t="s">
        <v>394</v>
      </c>
      <c r="D5" s="2360" t="s">
        <v>395</v>
      </c>
      <c r="E5" s="2364" t="s">
        <v>2302</v>
      </c>
      <c r="F5" s="776"/>
      <c r="G5" s="2365" t="s">
        <v>396</v>
      </c>
      <c r="H5" s="2368" t="s">
        <v>397</v>
      </c>
      <c r="I5" s="2362" t="s">
        <v>398</v>
      </c>
      <c r="J5" s="2381" t="s">
        <v>399</v>
      </c>
      <c r="K5" s="2383" t="s">
        <v>400</v>
      </c>
      <c r="L5" s="777"/>
      <c r="M5" s="880"/>
      <c r="N5" s="880"/>
      <c r="O5" s="880"/>
      <c r="P5" s="881"/>
      <c r="Q5" s="881"/>
      <c r="R5" s="881"/>
      <c r="S5" s="882"/>
      <c r="T5" s="823"/>
      <c r="U5" s="878"/>
      <c r="V5" s="878"/>
      <c r="W5" s="878"/>
      <c r="X5" s="878"/>
      <c r="Y5" s="878"/>
      <c r="Z5" s="878"/>
      <c r="AA5" s="878"/>
      <c r="AB5" s="878"/>
      <c r="AC5" s="878"/>
      <c r="AD5" s="879"/>
      <c r="AE5" s="2384" t="s">
        <v>196</v>
      </c>
      <c r="AF5" s="2387" t="s">
        <v>534</v>
      </c>
      <c r="AG5" s="778" t="s">
        <v>535</v>
      </c>
      <c r="AH5" s="779"/>
      <c r="AI5" s="779"/>
      <c r="AJ5" s="779"/>
      <c r="AK5" s="779"/>
      <c r="AL5" s="779"/>
      <c r="AM5" s="779"/>
      <c r="AN5" s="779"/>
      <c r="AO5" s="779"/>
      <c r="AP5" s="779"/>
      <c r="AQ5" s="779"/>
      <c r="AR5" s="779"/>
      <c r="AS5" s="779"/>
      <c r="AT5" s="779"/>
      <c r="AU5" s="779"/>
      <c r="AV5" s="779"/>
      <c r="AW5" s="779"/>
      <c r="AX5" s="779"/>
      <c r="AY5" s="779"/>
      <c r="AZ5" s="779"/>
      <c r="BA5" s="779"/>
      <c r="BB5" s="779"/>
      <c r="BC5" s="779"/>
      <c r="BD5" s="779"/>
      <c r="BE5" s="779"/>
      <c r="BF5" s="779"/>
      <c r="BG5" s="779"/>
      <c r="BH5" s="779"/>
      <c r="BI5" s="779"/>
      <c r="BJ5" s="779"/>
      <c r="BK5" s="779"/>
      <c r="BL5" s="779"/>
      <c r="BM5" s="779"/>
      <c r="BN5" s="779"/>
      <c r="BO5" s="779"/>
      <c r="BP5" s="779"/>
      <c r="BQ5" s="779"/>
      <c r="BR5" s="779"/>
      <c r="BS5" s="779"/>
      <c r="BT5" s="779"/>
      <c r="BU5" s="779"/>
      <c r="BV5" s="779"/>
      <c r="BW5" s="779"/>
      <c r="BX5" s="779"/>
      <c r="BY5" s="779"/>
      <c r="BZ5" s="779"/>
      <c r="CA5" s="779"/>
      <c r="CB5" s="779"/>
      <c r="CC5" s="779"/>
      <c r="CD5" s="779"/>
      <c r="CE5" s="779"/>
      <c r="CF5" s="779"/>
      <c r="CG5" s="779"/>
      <c r="CH5" s="779"/>
      <c r="CI5" s="779"/>
      <c r="CJ5" s="779"/>
      <c r="CK5" s="779"/>
      <c r="CL5" s="779"/>
      <c r="CM5" s="779"/>
      <c r="CN5" s="779"/>
      <c r="CO5" s="779"/>
      <c r="CP5" s="779"/>
      <c r="CQ5" s="779"/>
      <c r="CR5" s="779"/>
      <c r="CS5" s="779"/>
      <c r="CT5" s="779"/>
      <c r="CU5" s="779"/>
      <c r="CV5" s="779"/>
      <c r="CW5" s="779"/>
      <c r="CX5" s="779"/>
      <c r="CY5" s="779"/>
      <c r="CZ5" s="779"/>
      <c r="DA5" s="779"/>
      <c r="DB5" s="779"/>
      <c r="DC5" s="779"/>
      <c r="DD5" s="779"/>
      <c r="DE5" s="779"/>
      <c r="DF5" s="779"/>
      <c r="DG5" s="779"/>
      <c r="DH5" s="779"/>
      <c r="DI5" s="779"/>
      <c r="DJ5" s="779"/>
      <c r="DK5" s="779"/>
      <c r="DL5" s="779"/>
      <c r="DM5" s="779"/>
      <c r="DN5" s="779"/>
      <c r="DO5" s="864"/>
      <c r="DP5" s="2432" t="s">
        <v>536</v>
      </c>
      <c r="DQ5" s="157"/>
      <c r="DR5" s="2433" t="s">
        <v>537</v>
      </c>
      <c r="DS5" s="2434"/>
      <c r="DT5" s="2434"/>
      <c r="DU5" s="2434"/>
      <c r="DV5" s="2434"/>
      <c r="DW5" s="2434"/>
      <c r="DX5" s="2434"/>
      <c r="DY5" s="2434"/>
      <c r="DZ5" s="2434"/>
      <c r="EA5" s="2434"/>
      <c r="EB5" s="2435"/>
      <c r="EC5" s="2361" t="s">
        <v>538</v>
      </c>
      <c r="ED5" s="2361"/>
      <c r="EE5" s="2361"/>
      <c r="EF5" s="2361"/>
      <c r="EG5" s="2361"/>
      <c r="EH5" s="2360" t="s">
        <v>539</v>
      </c>
      <c r="EI5" s="2436"/>
      <c r="EJ5" s="2368" t="s">
        <v>540</v>
      </c>
      <c r="EK5" s="2405" t="s">
        <v>608</v>
      </c>
      <c r="EL5" s="2406"/>
      <c r="EM5" s="2406"/>
      <c r="EN5" s="2406"/>
      <c r="EO5" s="2406"/>
      <c r="EP5" s="152"/>
      <c r="EQ5" s="770"/>
      <c r="ER5" s="770"/>
      <c r="ES5" s="770"/>
      <c r="ET5" s="770"/>
      <c r="EU5" s="770"/>
      <c r="EV5" s="770"/>
      <c r="EW5" s="2409"/>
      <c r="EX5" s="2409"/>
      <c r="EY5" s="2409"/>
      <c r="EZ5" s="2409"/>
      <c r="FA5" s="2409"/>
      <c r="FB5" s="2409"/>
      <c r="FC5" s="2409"/>
      <c r="FD5" s="2409"/>
      <c r="FE5" s="2410"/>
      <c r="FF5" s="2405" t="s">
        <v>609</v>
      </c>
      <c r="FG5" s="2406"/>
      <c r="FH5" s="2406"/>
      <c r="FI5" s="2406"/>
      <c r="FJ5" s="2406"/>
      <c r="FK5" s="152"/>
      <c r="FL5" s="2409"/>
      <c r="FM5" s="2409"/>
      <c r="FN5" s="2409"/>
      <c r="FO5" s="2409"/>
      <c r="FP5" s="2409"/>
      <c r="FQ5" s="2409"/>
      <c r="FR5" s="2409"/>
      <c r="FS5" s="2409"/>
      <c r="FT5" s="2409"/>
      <c r="FU5" s="2409"/>
      <c r="FV5" s="2409"/>
      <c r="FW5" s="2409"/>
      <c r="FX5" s="2409"/>
      <c r="FY5" s="2409"/>
      <c r="FZ5" s="2409"/>
      <c r="GA5" s="2409"/>
      <c r="GB5" s="2409"/>
      <c r="GC5" s="2409"/>
      <c r="GD5" s="2409"/>
      <c r="GE5" s="2409"/>
      <c r="GF5" s="2409"/>
      <c r="GG5" s="2409"/>
      <c r="GH5" s="2405" t="s">
        <v>1069</v>
      </c>
      <c r="GI5" s="2419"/>
      <c r="GJ5" s="2419"/>
      <c r="GK5" s="2419"/>
      <c r="GL5" s="2419"/>
      <c r="GM5" s="2419"/>
      <c r="GN5" s="2409"/>
      <c r="GO5" s="2409"/>
      <c r="GP5" s="2409"/>
      <c r="GQ5" s="2409"/>
      <c r="GR5" s="2409"/>
      <c r="GS5" s="2409"/>
      <c r="GT5" s="2409"/>
      <c r="GU5" s="2409"/>
      <c r="GV5" s="2409"/>
      <c r="GW5" s="2410"/>
      <c r="GX5" s="2405" t="s">
        <v>1072</v>
      </c>
      <c r="GY5" s="2406"/>
      <c r="GZ5" s="2406"/>
      <c r="HA5" s="152"/>
      <c r="HB5" s="2409"/>
      <c r="HC5" s="2409"/>
      <c r="HD5" s="2410"/>
      <c r="HE5" s="2405" t="s">
        <v>1073</v>
      </c>
      <c r="HF5" s="2419"/>
      <c r="HG5" s="2419"/>
      <c r="HH5" s="2419"/>
      <c r="HI5" s="2419"/>
      <c r="HJ5" s="2419"/>
      <c r="HK5" s="2457"/>
      <c r="HL5" s="2459" t="s">
        <v>654</v>
      </c>
      <c r="HM5" s="2460"/>
      <c r="HN5" s="2463" t="s">
        <v>655</v>
      </c>
      <c r="HO5" s="902"/>
      <c r="HP5" s="901"/>
      <c r="HQ5" s="874"/>
      <c r="HR5" s="2465" t="s">
        <v>658</v>
      </c>
      <c r="HS5" s="2451" t="s">
        <v>656</v>
      </c>
      <c r="HT5" s="2452"/>
      <c r="HU5" s="2452"/>
      <c r="HV5" s="2452"/>
      <c r="HW5" s="2452"/>
      <c r="HX5" s="2452"/>
      <c r="HY5" s="2452"/>
      <c r="HZ5" s="2452"/>
      <c r="IA5" s="2452"/>
      <c r="IB5" s="2452"/>
      <c r="IC5" s="2452"/>
      <c r="ID5" s="2452"/>
      <c r="IE5" s="2452"/>
      <c r="IF5" s="2452"/>
      <c r="IG5" s="2452"/>
      <c r="IH5" s="2452"/>
      <c r="II5" s="2452"/>
      <c r="IJ5" s="2452"/>
      <c r="IK5" s="2452"/>
      <c r="IL5" s="2451" t="s">
        <v>681</v>
      </c>
      <c r="IM5" s="2452"/>
      <c r="IN5" s="2452"/>
      <c r="IO5" s="2452"/>
      <c r="IP5" s="2452"/>
      <c r="IQ5" s="2452"/>
      <c r="IR5" s="2452"/>
      <c r="IS5" s="2452"/>
      <c r="IT5" s="2452"/>
      <c r="IU5" s="2452"/>
      <c r="IV5" s="2452"/>
      <c r="IW5" s="2452"/>
      <c r="IX5" s="2452"/>
      <c r="IY5" s="2452"/>
      <c r="IZ5" s="2452"/>
      <c r="JA5" s="2452"/>
      <c r="JB5" s="2452"/>
      <c r="JC5" s="2452"/>
      <c r="JD5" s="2452"/>
      <c r="JE5" s="2452"/>
      <c r="JF5" s="2452"/>
      <c r="JG5" s="2452"/>
      <c r="JH5" s="2452"/>
      <c r="JI5" s="2452"/>
      <c r="JJ5" s="2452"/>
      <c r="JK5" s="2453"/>
      <c r="JL5" s="2454" t="s">
        <v>682</v>
      </c>
      <c r="JM5" s="2455"/>
      <c r="JN5" s="2455"/>
      <c r="JO5" s="2455"/>
      <c r="JP5" s="2455"/>
      <c r="JQ5" s="2455"/>
      <c r="JR5" s="2455"/>
      <c r="JS5" s="2455"/>
      <c r="JT5" s="2455"/>
      <c r="JU5" s="2455"/>
      <c r="JV5" s="2455"/>
      <c r="JW5" s="2455"/>
      <c r="JX5" s="2455"/>
      <c r="JY5" s="2455"/>
      <c r="JZ5" s="2455"/>
      <c r="KA5" s="2455"/>
      <c r="KB5" s="2455"/>
      <c r="KC5" s="2456"/>
      <c r="KD5" s="716" t="s">
        <v>769</v>
      </c>
      <c r="KE5" s="717"/>
      <c r="KF5" s="717"/>
      <c r="KG5" s="717"/>
      <c r="KH5" s="717"/>
      <c r="KI5" s="717"/>
      <c r="KJ5" s="717"/>
      <c r="KK5" s="717"/>
      <c r="KL5" s="717"/>
      <c r="KM5" s="717"/>
      <c r="KN5" s="717"/>
      <c r="KO5" s="717"/>
      <c r="KP5" s="717"/>
      <c r="KQ5" s="717"/>
      <c r="KR5" s="717"/>
      <c r="KS5" s="717"/>
      <c r="KT5" s="717"/>
      <c r="KU5" s="717"/>
      <c r="KV5" s="717"/>
      <c r="KW5" s="717"/>
      <c r="KX5" s="717"/>
      <c r="KY5" s="717"/>
      <c r="KZ5" s="717"/>
      <c r="LA5" s="717"/>
      <c r="LB5" s="717"/>
      <c r="LC5" s="717"/>
      <c r="LD5" s="717"/>
      <c r="LE5" s="717"/>
      <c r="LF5" s="717"/>
      <c r="LG5" s="717"/>
      <c r="LH5" s="717"/>
      <c r="LI5" s="717"/>
      <c r="LJ5" s="717"/>
      <c r="LK5" s="717"/>
      <c r="LL5" s="717"/>
      <c r="LM5" s="717"/>
      <c r="LN5" s="717"/>
      <c r="LO5" s="717"/>
      <c r="LP5" s="717"/>
      <c r="LQ5" s="717"/>
      <c r="LR5"/>
      <c r="LS5"/>
      <c r="LT5"/>
      <c r="LU5"/>
      <c r="LV5"/>
      <c r="LW5"/>
      <c r="LX5"/>
      <c r="LY5"/>
      <c r="LZ5"/>
      <c r="MA5"/>
      <c r="MB5"/>
      <c r="MC5"/>
      <c r="MD5"/>
      <c r="ME5"/>
      <c r="MF5"/>
      <c r="MG5"/>
      <c r="MH5" s="764"/>
      <c r="OB5" s="2358"/>
    </row>
    <row r="6" spans="1:392" s="763" customFormat="1" ht="29.25" customHeight="1" x14ac:dyDescent="0.15">
      <c r="A6" s="2361"/>
      <c r="B6" s="2363"/>
      <c r="C6" s="2363"/>
      <c r="D6" s="2361"/>
      <c r="E6" s="2364"/>
      <c r="F6" s="2396" t="s">
        <v>401</v>
      </c>
      <c r="G6" s="2366"/>
      <c r="H6" s="2369"/>
      <c r="I6" s="2363"/>
      <c r="J6" s="2382"/>
      <c r="K6" s="2383"/>
      <c r="L6" s="847"/>
      <c r="M6" s="2399" t="s">
        <v>402</v>
      </c>
      <c r="N6" s="2402" t="s">
        <v>403</v>
      </c>
      <c r="O6" s="2402" t="s">
        <v>404</v>
      </c>
      <c r="P6" s="2363" t="s">
        <v>405</v>
      </c>
      <c r="Q6" s="2368" t="s">
        <v>406</v>
      </c>
      <c r="R6" s="2363" t="s">
        <v>407</v>
      </c>
      <c r="S6" s="2363" t="s">
        <v>408</v>
      </c>
      <c r="T6" s="2391" t="s">
        <v>409</v>
      </c>
      <c r="U6" s="2393" t="s">
        <v>410</v>
      </c>
      <c r="V6" s="2393" t="s">
        <v>411</v>
      </c>
      <c r="W6" s="2393" t="s">
        <v>412</v>
      </c>
      <c r="X6" s="2393" t="s">
        <v>413</v>
      </c>
      <c r="Y6" s="2393" t="s">
        <v>414</v>
      </c>
      <c r="Z6" s="2393" t="s">
        <v>415</v>
      </c>
      <c r="AA6" s="2393" t="s">
        <v>416</v>
      </c>
      <c r="AB6" s="2393" t="s">
        <v>417</v>
      </c>
      <c r="AC6" s="2393" t="s">
        <v>418</v>
      </c>
      <c r="AD6" s="2393" t="s">
        <v>419</v>
      </c>
      <c r="AE6" s="2385"/>
      <c r="AF6" s="2388"/>
      <c r="AG6" s="778" t="s">
        <v>541</v>
      </c>
      <c r="AH6" s="779"/>
      <c r="AI6" s="779"/>
      <c r="AJ6" s="779"/>
      <c r="AK6" s="779"/>
      <c r="AL6" s="779"/>
      <c r="AM6" s="779"/>
      <c r="AN6" s="779"/>
      <c r="AO6" s="779"/>
      <c r="AP6" s="779"/>
      <c r="AQ6" s="779"/>
      <c r="AR6" s="779"/>
      <c r="AS6" s="779"/>
      <c r="AT6" s="779"/>
      <c r="AU6" s="779"/>
      <c r="AV6" s="779"/>
      <c r="AW6" s="779"/>
      <c r="AX6" s="779"/>
      <c r="AY6" s="779"/>
      <c r="AZ6" s="779"/>
      <c r="BA6" s="779"/>
      <c r="BB6" s="779"/>
      <c r="BC6" s="779"/>
      <c r="BD6" s="779"/>
      <c r="BE6" s="779"/>
      <c r="BF6" s="779"/>
      <c r="BG6" s="779"/>
      <c r="BH6" s="779"/>
      <c r="BI6" s="778"/>
      <c r="BJ6" s="779"/>
      <c r="BK6" s="779"/>
      <c r="BL6" s="779"/>
      <c r="BM6" s="779"/>
      <c r="BN6" s="779"/>
      <c r="BO6" s="779"/>
      <c r="BP6" s="779"/>
      <c r="BQ6" s="779"/>
      <c r="BR6" s="779"/>
      <c r="BS6" s="779"/>
      <c r="BT6" s="779"/>
      <c r="BU6" s="779"/>
      <c r="BV6" s="779"/>
      <c r="BW6" s="779"/>
      <c r="BX6" s="779"/>
      <c r="BY6" s="779"/>
      <c r="BZ6" s="779"/>
      <c r="CA6" s="779"/>
      <c r="CB6" s="779"/>
      <c r="CC6" s="779"/>
      <c r="CD6" s="779"/>
      <c r="CE6" s="779"/>
      <c r="CF6" s="779"/>
      <c r="CG6" s="779"/>
      <c r="CH6" s="779"/>
      <c r="CI6" s="779"/>
      <c r="CJ6" s="779"/>
      <c r="CK6" s="779"/>
      <c r="CL6" s="779"/>
      <c r="CM6" s="779"/>
      <c r="CN6" s="779"/>
      <c r="CO6" s="779"/>
      <c r="CP6" s="779"/>
      <c r="CQ6" s="779"/>
      <c r="CR6" s="779"/>
      <c r="CS6" s="779"/>
      <c r="CT6" s="779"/>
      <c r="CU6" s="779"/>
      <c r="CV6" s="779"/>
      <c r="CW6" s="779"/>
      <c r="CX6" s="779"/>
      <c r="CY6" s="779"/>
      <c r="CZ6" s="779"/>
      <c r="DA6" s="779"/>
      <c r="DB6" s="779"/>
      <c r="DC6" s="779"/>
      <c r="DD6" s="779"/>
      <c r="DE6" s="779"/>
      <c r="DF6" s="779"/>
      <c r="DG6" s="779"/>
      <c r="DH6" s="779"/>
      <c r="DI6" s="779"/>
      <c r="DJ6" s="779"/>
      <c r="DK6" s="779"/>
      <c r="DL6" s="779"/>
      <c r="DM6" s="779"/>
      <c r="DN6" s="779"/>
      <c r="DO6" s="779"/>
      <c r="DP6" s="2400"/>
      <c r="DQ6" s="2439" t="s">
        <v>542</v>
      </c>
      <c r="DR6" s="2440" t="s">
        <v>543</v>
      </c>
      <c r="DS6" s="2443" t="s">
        <v>544</v>
      </c>
      <c r="DT6" s="2444"/>
      <c r="DU6" s="2444"/>
      <c r="DV6" s="2444"/>
      <c r="DW6" s="2444"/>
      <c r="DX6" s="2445"/>
      <c r="DY6" s="2443" t="s">
        <v>545</v>
      </c>
      <c r="DZ6" s="2444"/>
      <c r="EA6" s="2444"/>
      <c r="EB6" s="2445"/>
      <c r="EC6" s="2361"/>
      <c r="ED6" s="2361"/>
      <c r="EE6" s="2361"/>
      <c r="EF6" s="2361"/>
      <c r="EG6" s="2361"/>
      <c r="EH6" s="2361"/>
      <c r="EI6" s="2437"/>
      <c r="EJ6" s="2369"/>
      <c r="EK6" s="2407"/>
      <c r="EL6" s="2408"/>
      <c r="EM6" s="2408"/>
      <c r="EN6" s="2408"/>
      <c r="EO6" s="2408"/>
      <c r="EP6" s="153"/>
      <c r="EQ6" s="767" t="s">
        <v>2067</v>
      </c>
      <c r="ER6" s="768"/>
      <c r="ES6" s="768"/>
      <c r="ET6" s="768"/>
      <c r="EU6" s="768"/>
      <c r="EV6" s="769"/>
      <c r="EW6" s="2408"/>
      <c r="EX6" s="2408"/>
      <c r="EY6" s="2408"/>
      <c r="EZ6" s="2408"/>
      <c r="FA6" s="2408"/>
      <c r="FB6" s="2408"/>
      <c r="FC6" s="2408"/>
      <c r="FD6" s="2408"/>
      <c r="FE6" s="2411"/>
      <c r="FF6" s="2407"/>
      <c r="FG6" s="2408"/>
      <c r="FH6" s="2408"/>
      <c r="FI6" s="2408"/>
      <c r="FJ6" s="2408"/>
      <c r="FK6" s="153"/>
      <c r="FL6" s="2408"/>
      <c r="FM6" s="2408"/>
      <c r="FN6" s="2408"/>
      <c r="FO6" s="2408"/>
      <c r="FP6" s="2408"/>
      <c r="FQ6" s="2408"/>
      <c r="FR6" s="2408"/>
      <c r="FS6" s="2408"/>
      <c r="FT6" s="2408"/>
      <c r="FU6" s="2408"/>
      <c r="FV6" s="2408"/>
      <c r="FW6" s="2408"/>
      <c r="FX6" s="2408"/>
      <c r="FY6" s="2408"/>
      <c r="FZ6" s="2408"/>
      <c r="GA6" s="2408"/>
      <c r="GB6" s="2408"/>
      <c r="GC6" s="2408"/>
      <c r="GD6" s="2408"/>
      <c r="GE6" s="2408"/>
      <c r="GF6" s="2408"/>
      <c r="GG6" s="2408"/>
      <c r="GH6" s="2420"/>
      <c r="GI6" s="2421"/>
      <c r="GJ6" s="2421"/>
      <c r="GK6" s="2421"/>
      <c r="GL6" s="2421"/>
      <c r="GM6" s="2421"/>
      <c r="GN6" s="2408"/>
      <c r="GO6" s="2408"/>
      <c r="GP6" s="2408"/>
      <c r="GQ6" s="2408"/>
      <c r="GR6" s="2408"/>
      <c r="GS6" s="2408"/>
      <c r="GT6" s="2408"/>
      <c r="GU6" s="2408"/>
      <c r="GV6" s="2408"/>
      <c r="GW6" s="2411"/>
      <c r="GX6" s="2407"/>
      <c r="GY6" s="2408"/>
      <c r="GZ6" s="2408"/>
      <c r="HA6" s="153"/>
      <c r="HB6" s="2408"/>
      <c r="HC6" s="2408"/>
      <c r="HD6" s="2411"/>
      <c r="HE6" s="2420"/>
      <c r="HF6" s="2421"/>
      <c r="HG6" s="2421"/>
      <c r="HH6" s="2421"/>
      <c r="HI6" s="2421"/>
      <c r="HJ6" s="2421"/>
      <c r="HK6" s="2458"/>
      <c r="HL6" s="2461"/>
      <c r="HM6" s="2462"/>
      <c r="HN6" s="2463"/>
      <c r="HO6" s="2468" t="s">
        <v>625</v>
      </c>
      <c r="HP6" s="2471" t="s">
        <v>657</v>
      </c>
      <c r="HQ6" s="893"/>
      <c r="HR6" s="2466"/>
      <c r="HS6" s="2361" t="s">
        <v>659</v>
      </c>
      <c r="HT6" s="2479" t="s">
        <v>660</v>
      </c>
      <c r="HU6" s="2361" t="s">
        <v>661</v>
      </c>
      <c r="HV6" s="2386" t="s">
        <v>662</v>
      </c>
      <c r="HW6" s="2479" t="s">
        <v>663</v>
      </c>
      <c r="HX6" s="2479" t="s">
        <v>664</v>
      </c>
      <c r="HY6" s="2383" t="s">
        <v>665</v>
      </c>
      <c r="HZ6" s="2383" t="s">
        <v>666</v>
      </c>
      <c r="IA6" s="2479" t="s">
        <v>667</v>
      </c>
      <c r="IB6" s="2479" t="s">
        <v>668</v>
      </c>
      <c r="IC6" s="2479" t="s">
        <v>669</v>
      </c>
      <c r="ID6" s="2479" t="s">
        <v>670</v>
      </c>
      <c r="IE6" s="2479" t="s">
        <v>671</v>
      </c>
      <c r="IF6" s="2479" t="s">
        <v>672</v>
      </c>
      <c r="IG6" s="2386" t="s">
        <v>673</v>
      </c>
      <c r="IH6" s="2386" t="s">
        <v>674</v>
      </c>
      <c r="II6" s="2361" t="s">
        <v>408</v>
      </c>
      <c r="IJ6" s="2484" t="s">
        <v>675</v>
      </c>
      <c r="IK6" s="535"/>
      <c r="IL6" s="2492" t="s">
        <v>683</v>
      </c>
      <c r="IM6" s="2492"/>
      <c r="IN6" s="2492"/>
      <c r="IO6" s="2492"/>
      <c r="IP6" s="2492"/>
      <c r="IQ6" s="2492"/>
      <c r="IR6" s="2492"/>
      <c r="IS6" s="2492"/>
      <c r="IT6" s="2492"/>
      <c r="IU6" s="2492"/>
      <c r="IV6" s="2492"/>
      <c r="IW6" s="2492"/>
      <c r="IX6" s="2492"/>
      <c r="IY6" s="2492"/>
      <c r="IZ6" s="2492"/>
      <c r="JA6" s="2492" t="s">
        <v>684</v>
      </c>
      <c r="JB6" s="2492"/>
      <c r="JC6" s="2492"/>
      <c r="JD6" s="2492"/>
      <c r="JE6" s="2492"/>
      <c r="JF6" s="2492"/>
      <c r="JG6" s="2492"/>
      <c r="JH6" s="2492"/>
      <c r="JI6" s="2492"/>
      <c r="JJ6" s="2492"/>
      <c r="JK6" s="2492"/>
      <c r="JL6" s="2438" t="s">
        <v>685</v>
      </c>
      <c r="JM6" s="2443" t="s">
        <v>686</v>
      </c>
      <c r="JN6" s="2444"/>
      <c r="JO6" s="2444"/>
      <c r="JP6" s="2444"/>
      <c r="JQ6" s="2445"/>
      <c r="JR6" s="2438" t="s">
        <v>687</v>
      </c>
      <c r="JS6" s="2493" t="s">
        <v>688</v>
      </c>
      <c r="JT6" s="2494"/>
      <c r="JU6" s="2494"/>
      <c r="JV6" s="2494"/>
      <c r="JW6" s="2494"/>
      <c r="JX6" s="2494"/>
      <c r="JY6" s="2494"/>
      <c r="JZ6" s="2494"/>
      <c r="KA6" s="2494"/>
      <c r="KB6" s="2494"/>
      <c r="KC6" s="2495"/>
      <c r="KD6" s="718" t="s">
        <v>1372</v>
      </c>
      <c r="KE6" s="2485" t="s">
        <v>1373</v>
      </c>
      <c r="KF6" s="2485"/>
      <c r="KG6" s="2485"/>
      <c r="KH6" s="884" t="s">
        <v>1374</v>
      </c>
      <c r="KI6" s="885"/>
      <c r="KJ6" s="885"/>
      <c r="KK6" s="885"/>
      <c r="KL6" s="885"/>
      <c r="KM6" s="885"/>
      <c r="KN6" s="885"/>
      <c r="KO6" s="885"/>
      <c r="KP6" s="885"/>
      <c r="KQ6" s="885"/>
      <c r="KR6" s="885"/>
      <c r="KS6" s="885"/>
      <c r="KT6" s="885"/>
      <c r="KU6" s="885"/>
      <c r="KV6" s="885"/>
      <c r="KW6" s="885"/>
      <c r="KX6" s="885"/>
      <c r="KY6" s="885"/>
      <c r="KZ6" s="885"/>
      <c r="LA6" s="885"/>
      <c r="LB6" s="885"/>
      <c r="LC6" s="885"/>
      <c r="LD6" s="885"/>
      <c r="LE6" s="885"/>
      <c r="LF6" s="885"/>
      <c r="LG6" s="885"/>
      <c r="LH6" s="885"/>
      <c r="LI6" s="885"/>
      <c r="LJ6" s="885"/>
      <c r="LK6" s="885"/>
      <c r="LL6" s="885"/>
      <c r="LM6" s="885"/>
      <c r="LN6" s="885"/>
      <c r="LO6" s="885"/>
      <c r="LP6" s="885"/>
      <c r="LQ6" s="884" t="s">
        <v>1883</v>
      </c>
      <c r="LR6" s="885"/>
      <c r="LS6" s="885"/>
      <c r="LT6" s="885"/>
      <c r="LU6" s="885"/>
      <c r="LV6" s="885"/>
      <c r="LW6" s="885"/>
      <c r="LX6" s="885"/>
      <c r="LY6" s="885"/>
      <c r="LZ6" s="885"/>
      <c r="MA6" s="885"/>
      <c r="MB6" s="885"/>
      <c r="MC6" s="885"/>
      <c r="MD6" s="885"/>
      <c r="ME6" s="885"/>
      <c r="MF6" s="885"/>
      <c r="MG6" s="885"/>
      <c r="MH6" s="764"/>
      <c r="MI6" s="764"/>
      <c r="MJ6" s="764"/>
      <c r="MK6" s="764"/>
      <c r="ML6" s="764"/>
      <c r="MM6" s="764"/>
      <c r="MN6" s="883"/>
      <c r="MO6" s="712" t="s">
        <v>1884</v>
      </c>
      <c r="MP6" s="764"/>
      <c r="MQ6" s="764"/>
      <c r="MR6" s="764"/>
      <c r="MS6" s="764"/>
      <c r="MT6" s="764"/>
      <c r="MU6" s="764"/>
      <c r="MV6" s="764"/>
      <c r="MW6" s="764"/>
      <c r="MX6" s="764"/>
      <c r="MY6" s="764"/>
      <c r="MZ6" s="764"/>
      <c r="NA6" s="764"/>
      <c r="NB6" s="764"/>
      <c r="NC6" s="764"/>
      <c r="ND6" s="764"/>
      <c r="NE6" s="764"/>
      <c r="NF6" s="764"/>
      <c r="NG6" s="764"/>
      <c r="NH6" s="764"/>
      <c r="NI6" s="764"/>
      <c r="NJ6" s="764"/>
      <c r="NK6" s="764"/>
      <c r="NL6" s="764"/>
      <c r="NM6" s="764"/>
      <c r="NN6" s="764"/>
      <c r="NO6" s="764"/>
      <c r="NP6" s="764"/>
      <c r="NQ6" s="764"/>
      <c r="NR6" s="764"/>
      <c r="NS6" s="764"/>
      <c r="NT6" s="764"/>
      <c r="NU6" s="764"/>
      <c r="NV6" s="764"/>
      <c r="NW6" s="764"/>
      <c r="NX6" s="764"/>
      <c r="NY6" s="764"/>
      <c r="NZ6" s="764"/>
      <c r="OA6" s="764"/>
      <c r="OB6" s="2358"/>
    </row>
    <row r="7" spans="1:392" s="763" customFormat="1" ht="30" customHeight="1" x14ac:dyDescent="0.15">
      <c r="A7" s="2361"/>
      <c r="B7" s="2363"/>
      <c r="C7" s="2363"/>
      <c r="D7" s="2361"/>
      <c r="E7" s="2364"/>
      <c r="F7" s="2397"/>
      <c r="G7" s="2366"/>
      <c r="H7" s="2369"/>
      <c r="I7" s="2363"/>
      <c r="J7" s="2382"/>
      <c r="K7" s="2383"/>
      <c r="L7" s="2363" t="s">
        <v>420</v>
      </c>
      <c r="M7" s="2400"/>
      <c r="N7" s="2403"/>
      <c r="O7" s="2403"/>
      <c r="P7" s="2363"/>
      <c r="Q7" s="2369"/>
      <c r="R7" s="2363"/>
      <c r="S7" s="2363"/>
      <c r="T7" s="2392"/>
      <c r="U7" s="2394"/>
      <c r="V7" s="2394"/>
      <c r="W7" s="2394"/>
      <c r="X7" s="2394"/>
      <c r="Y7" s="2394"/>
      <c r="Z7" s="2394"/>
      <c r="AA7" s="2394"/>
      <c r="AB7" s="2394"/>
      <c r="AC7" s="2394"/>
      <c r="AD7" s="2394"/>
      <c r="AE7" s="2385"/>
      <c r="AF7" s="2389"/>
      <c r="AG7" s="2438" t="s">
        <v>546</v>
      </c>
      <c r="AH7" s="865"/>
      <c r="AI7" s="865"/>
      <c r="AJ7" s="865"/>
      <c r="AK7" s="865"/>
      <c r="AL7" s="865"/>
      <c r="AM7" s="150"/>
      <c r="AN7" s="2438" t="s">
        <v>547</v>
      </c>
      <c r="AO7" s="865"/>
      <c r="AP7" s="865"/>
      <c r="AQ7" s="865"/>
      <c r="AR7" s="865"/>
      <c r="AS7" s="865"/>
      <c r="AT7" s="150"/>
      <c r="AU7" s="2438" t="s">
        <v>548</v>
      </c>
      <c r="AV7" s="865"/>
      <c r="AW7" s="865"/>
      <c r="AX7" s="865"/>
      <c r="AY7" s="865"/>
      <c r="AZ7" s="865"/>
      <c r="BA7" s="865"/>
      <c r="BB7" s="150"/>
      <c r="BC7" s="2438" t="s">
        <v>549</v>
      </c>
      <c r="BD7" s="865"/>
      <c r="BE7" s="865"/>
      <c r="BF7" s="865"/>
      <c r="BG7" s="865"/>
      <c r="BH7" s="865"/>
      <c r="BI7" s="2488" t="s">
        <v>550</v>
      </c>
      <c r="BJ7" s="2489"/>
      <c r="BK7" s="2489"/>
      <c r="BL7" s="2489"/>
      <c r="BM7" s="2489"/>
      <c r="BN7" s="2489"/>
      <c r="BO7" s="2489"/>
      <c r="BP7" s="2489"/>
      <c r="BQ7" s="2489"/>
      <c r="BR7" s="2489"/>
      <c r="BS7" s="2489"/>
      <c r="BT7" s="2489"/>
      <c r="BU7" s="2489"/>
      <c r="BV7" s="2489"/>
      <c r="BW7" s="2489"/>
      <c r="BX7" s="2489"/>
      <c r="BY7" s="2489"/>
      <c r="BZ7" s="2489"/>
      <c r="CA7" s="2489"/>
      <c r="CB7" s="2489"/>
      <c r="CC7" s="2489"/>
      <c r="CD7" s="2489"/>
      <c r="CE7" s="2489"/>
      <c r="CF7" s="2489"/>
      <c r="CG7" s="2489"/>
      <c r="CH7" s="2489"/>
      <c r="CI7" s="2489"/>
      <c r="CJ7" s="2489"/>
      <c r="CK7" s="840"/>
      <c r="CL7" s="2490" t="s">
        <v>551</v>
      </c>
      <c r="CM7" s="2491"/>
      <c r="CN7" s="2491"/>
      <c r="CO7" s="2491"/>
      <c r="CP7" s="2491"/>
      <c r="CQ7" s="2491"/>
      <c r="CR7" s="2491"/>
      <c r="CS7" s="2491"/>
      <c r="CT7" s="2491"/>
      <c r="CU7" s="2491"/>
      <c r="CV7" s="2491"/>
      <c r="CW7" s="2491"/>
      <c r="CX7" s="2491"/>
      <c r="CY7" s="2491"/>
      <c r="CZ7" s="2491"/>
      <c r="DA7" s="2491"/>
      <c r="DB7" s="2491"/>
      <c r="DC7" s="2491"/>
      <c r="DD7" s="2491"/>
      <c r="DE7" s="2491"/>
      <c r="DF7" s="2491"/>
      <c r="DG7" s="2491"/>
      <c r="DH7" s="2491"/>
      <c r="DI7" s="2491"/>
      <c r="DJ7" s="2491"/>
      <c r="DK7" s="2491"/>
      <c r="DL7" s="2491"/>
      <c r="DM7" s="2491"/>
      <c r="DN7" s="2491"/>
      <c r="DO7" s="866"/>
      <c r="DP7" s="2400"/>
      <c r="DQ7" s="2423"/>
      <c r="DR7" s="2441"/>
      <c r="DS7" s="2446"/>
      <c r="DT7" s="2447"/>
      <c r="DU7" s="2447"/>
      <c r="DV7" s="2447"/>
      <c r="DW7" s="2447"/>
      <c r="DX7" s="2448"/>
      <c r="DY7" s="2446"/>
      <c r="DZ7" s="2447"/>
      <c r="EA7" s="2447"/>
      <c r="EB7" s="2448"/>
      <c r="EC7" s="2428" t="s">
        <v>552</v>
      </c>
      <c r="ED7" s="2449"/>
      <c r="EE7" s="2449"/>
      <c r="EF7" s="2449"/>
      <c r="EG7" s="2450"/>
      <c r="EH7" s="2412" t="s">
        <v>553</v>
      </c>
      <c r="EI7" s="903"/>
      <c r="EJ7" s="2369"/>
      <c r="EK7" s="2386" t="s">
        <v>610</v>
      </c>
      <c r="EL7" s="2428" t="s">
        <v>611</v>
      </c>
      <c r="EM7" s="880"/>
      <c r="EN7" s="880"/>
      <c r="EO7" s="2412" t="s">
        <v>612</v>
      </c>
      <c r="EP7" s="904"/>
      <c r="EQ7" s="2386" t="s">
        <v>610</v>
      </c>
      <c r="ER7" s="2428" t="s">
        <v>611</v>
      </c>
      <c r="ES7" s="880"/>
      <c r="ET7" s="880"/>
      <c r="EU7" s="2412" t="s">
        <v>612</v>
      </c>
      <c r="EV7" s="894"/>
      <c r="EW7" s="2413" t="s">
        <v>613</v>
      </c>
      <c r="EX7" s="2414"/>
      <c r="EY7" s="2415"/>
      <c r="EZ7" s="2413" t="s">
        <v>614</v>
      </c>
      <c r="FA7" s="2414"/>
      <c r="FB7" s="2415"/>
      <c r="FC7" s="2413" t="s">
        <v>615</v>
      </c>
      <c r="FD7" s="2414"/>
      <c r="FE7" s="2415"/>
      <c r="FF7" s="2386" t="s">
        <v>610</v>
      </c>
      <c r="FG7" s="2428" t="s">
        <v>616</v>
      </c>
      <c r="FH7" s="880"/>
      <c r="FI7" s="880"/>
      <c r="FJ7" s="2412" t="s">
        <v>617</v>
      </c>
      <c r="FK7" s="904"/>
      <c r="FL7" s="713" t="s">
        <v>618</v>
      </c>
      <c r="FM7" s="714"/>
      <c r="FN7" s="714"/>
      <c r="FO7" s="714"/>
      <c r="FP7" s="714"/>
      <c r="FQ7" s="714"/>
      <c r="FR7" s="714"/>
      <c r="FS7" s="714"/>
      <c r="FT7" s="714"/>
      <c r="FU7" s="890"/>
      <c r="FV7" s="713" t="s">
        <v>619</v>
      </c>
      <c r="FW7" s="714"/>
      <c r="FX7" s="714"/>
      <c r="FY7" s="714"/>
      <c r="FZ7" s="714"/>
      <c r="GA7" s="714"/>
      <c r="GB7" s="714"/>
      <c r="GC7" s="714"/>
      <c r="GD7" s="714"/>
      <c r="GE7" s="714"/>
      <c r="GF7" s="714"/>
      <c r="GG7" s="890"/>
      <c r="GH7" s="2386" t="s">
        <v>620</v>
      </c>
      <c r="GI7" s="2368" t="s">
        <v>616</v>
      </c>
      <c r="GJ7" s="2412" t="s">
        <v>617</v>
      </c>
      <c r="GK7" s="967"/>
      <c r="GL7" s="2412" t="s">
        <v>2016</v>
      </c>
      <c r="GM7" s="2412" t="s">
        <v>2017</v>
      </c>
      <c r="GN7" s="2506" t="s">
        <v>621</v>
      </c>
      <c r="GO7" s="869"/>
      <c r="GP7" s="869"/>
      <c r="GQ7" s="2506" t="s">
        <v>622</v>
      </c>
      <c r="GR7" s="870"/>
      <c r="GS7" s="870"/>
      <c r="GT7" s="871"/>
      <c r="GU7" s="2413" t="s">
        <v>1070</v>
      </c>
      <c r="GV7" s="2414"/>
      <c r="GW7" s="2415"/>
      <c r="GX7" s="2386" t="s">
        <v>620</v>
      </c>
      <c r="GY7" s="2412" t="s">
        <v>616</v>
      </c>
      <c r="GZ7" s="2412" t="s">
        <v>617</v>
      </c>
      <c r="HA7" s="967"/>
      <c r="HB7" s="2413" t="s">
        <v>1074</v>
      </c>
      <c r="HC7" s="2414"/>
      <c r="HD7" s="2415"/>
      <c r="HE7" s="2386" t="s">
        <v>620</v>
      </c>
      <c r="HF7" s="2368" t="s">
        <v>616</v>
      </c>
      <c r="HG7" s="2412" t="s">
        <v>617</v>
      </c>
      <c r="HH7" s="967"/>
      <c r="HI7" s="2413" t="s">
        <v>623</v>
      </c>
      <c r="HJ7" s="2414"/>
      <c r="HK7" s="2555"/>
      <c r="HL7" s="2557" t="s">
        <v>676</v>
      </c>
      <c r="HM7" s="2557" t="s">
        <v>677</v>
      </c>
      <c r="HN7" s="2463"/>
      <c r="HO7" s="2469"/>
      <c r="HP7" s="2472"/>
      <c r="HQ7" s="2479" t="s">
        <v>678</v>
      </c>
      <c r="HR7" s="2466"/>
      <c r="HS7" s="2361"/>
      <c r="HT7" s="2479"/>
      <c r="HU7" s="2361"/>
      <c r="HV7" s="2391"/>
      <c r="HW7" s="2479"/>
      <c r="HX7" s="2479"/>
      <c r="HY7" s="2383"/>
      <c r="HZ7" s="2383"/>
      <c r="IA7" s="2479"/>
      <c r="IB7" s="2479"/>
      <c r="IC7" s="2479"/>
      <c r="ID7" s="2479"/>
      <c r="IE7" s="2479"/>
      <c r="IF7" s="2479"/>
      <c r="IG7" s="2391"/>
      <c r="IH7" s="2391"/>
      <c r="II7" s="2361"/>
      <c r="IJ7" s="2392"/>
      <c r="IK7" s="2429" t="s">
        <v>679</v>
      </c>
      <c r="IL7" s="2451" t="s">
        <v>689</v>
      </c>
      <c r="IM7" s="2452"/>
      <c r="IN7" s="2480"/>
      <c r="IO7" s="2480"/>
      <c r="IP7" s="2480"/>
      <c r="IQ7" s="2480"/>
      <c r="IR7" s="2480"/>
      <c r="IS7" s="2480"/>
      <c r="IT7" s="2480"/>
      <c r="IU7" s="2480"/>
      <c r="IV7" s="1752"/>
      <c r="IW7" s="2385" t="s">
        <v>690</v>
      </c>
      <c r="IX7" s="2481" t="s">
        <v>691</v>
      </c>
      <c r="IY7" s="2481"/>
      <c r="IZ7" s="2481"/>
      <c r="JA7" s="2384" t="s">
        <v>692</v>
      </c>
      <c r="JB7" s="2377" t="s">
        <v>716</v>
      </c>
      <c r="JC7" s="2377" t="s">
        <v>2317</v>
      </c>
      <c r="JD7" s="2377" t="s">
        <v>2316</v>
      </c>
      <c r="JE7" s="2377" t="s">
        <v>2318</v>
      </c>
      <c r="JF7" s="2377" t="s">
        <v>717</v>
      </c>
      <c r="JG7" s="2378" t="s">
        <v>2319</v>
      </c>
      <c r="JH7" s="2378" t="s">
        <v>2320</v>
      </c>
      <c r="JI7" s="2378" t="s">
        <v>2321</v>
      </c>
      <c r="JJ7" s="2473" t="s">
        <v>2322</v>
      </c>
      <c r="JK7" s="2496" t="s">
        <v>2323</v>
      </c>
      <c r="JL7" s="2438"/>
      <c r="JM7" s="2476" t="s">
        <v>693</v>
      </c>
      <c r="JN7" s="2476" t="s">
        <v>694</v>
      </c>
      <c r="JO7" s="2476" t="s">
        <v>695</v>
      </c>
      <c r="JP7" s="2524" t="s">
        <v>696</v>
      </c>
      <c r="JQ7" s="174"/>
      <c r="JR7" s="2438"/>
      <c r="JS7" s="2476" t="s">
        <v>697</v>
      </c>
      <c r="JT7" s="2476" t="s">
        <v>698</v>
      </c>
      <c r="JU7" s="2476" t="s">
        <v>699</v>
      </c>
      <c r="JV7" s="2476" t="s">
        <v>700</v>
      </c>
      <c r="JW7" s="2476" t="s">
        <v>701</v>
      </c>
      <c r="JX7" s="2476" t="s">
        <v>702</v>
      </c>
      <c r="JY7" s="2476" t="s">
        <v>703</v>
      </c>
      <c r="JZ7" s="2476" t="s">
        <v>704</v>
      </c>
      <c r="KA7" s="2476" t="s">
        <v>705</v>
      </c>
      <c r="KB7" s="2524" t="s">
        <v>706</v>
      </c>
      <c r="KC7" s="174"/>
      <c r="KD7" s="2525" t="s">
        <v>1830</v>
      </c>
      <c r="KE7" s="2527" t="s">
        <v>1075</v>
      </c>
      <c r="KF7" s="2527" t="s">
        <v>1076</v>
      </c>
      <c r="KG7" s="2432" t="s">
        <v>1077</v>
      </c>
      <c r="KH7" s="2402" t="s">
        <v>1831</v>
      </c>
      <c r="KI7" s="2516" t="s">
        <v>1832</v>
      </c>
      <c r="KJ7" s="2517"/>
      <c r="KK7" s="2511" t="s">
        <v>1835</v>
      </c>
      <c r="KL7" s="2512"/>
      <c r="KM7" s="2512"/>
      <c r="KN7" s="2512"/>
      <c r="KO7" s="2512"/>
      <c r="KP7" s="2512"/>
      <c r="KQ7" s="2512"/>
      <c r="KR7" s="2513"/>
      <c r="KS7" s="2511" t="s">
        <v>1843</v>
      </c>
      <c r="KT7" s="2512"/>
      <c r="KU7" s="2512"/>
      <c r="KV7" s="2512"/>
      <c r="KW7" s="2512"/>
      <c r="KX7" s="2512"/>
      <c r="KY7" s="2512"/>
      <c r="KZ7" s="2512"/>
      <c r="LA7" s="2512"/>
      <c r="LB7" s="2512"/>
      <c r="LC7" s="2513"/>
      <c r="LD7" s="713" t="s">
        <v>1854</v>
      </c>
      <c r="LE7" s="714"/>
      <c r="LF7" s="714"/>
      <c r="LG7" s="714"/>
      <c r="LH7" s="714"/>
      <c r="LI7" s="73" t="s">
        <v>1860</v>
      </c>
      <c r="LJ7" s="714" t="s">
        <v>1858</v>
      </c>
      <c r="LK7" s="714"/>
      <c r="LL7" s="714"/>
      <c r="LM7" s="714"/>
      <c r="LN7" s="714"/>
      <c r="LO7" s="714"/>
      <c r="LP7" s="714"/>
      <c r="LQ7" s="2518" t="s">
        <v>1867</v>
      </c>
      <c r="LR7" s="2516" t="s">
        <v>1868</v>
      </c>
      <c r="LS7" s="2517"/>
      <c r="LT7" s="2511" t="s">
        <v>2174</v>
      </c>
      <c r="LU7" s="2512"/>
      <c r="LV7" s="2512"/>
      <c r="LW7" s="2512"/>
      <c r="LX7" s="2512"/>
      <c r="LY7" s="2512"/>
      <c r="LZ7" s="2512"/>
      <c r="MA7" s="2513"/>
      <c r="MB7" s="2511" t="s">
        <v>1870</v>
      </c>
      <c r="MC7" s="2512"/>
      <c r="MD7" s="2512"/>
      <c r="ME7" s="2512"/>
      <c r="MF7" s="2512"/>
      <c r="MG7" s="2512"/>
      <c r="MH7" s="2512"/>
      <c r="MI7" s="2512"/>
      <c r="MJ7" s="2512"/>
      <c r="MK7" s="2512"/>
      <c r="ML7" s="2512"/>
      <c r="MM7" s="2513"/>
      <c r="MN7" s="73" t="s">
        <v>1860</v>
      </c>
      <c r="MO7" s="713" t="s">
        <v>1899</v>
      </c>
      <c r="MP7" s="764"/>
      <c r="MQ7" s="764"/>
      <c r="MR7" s="764"/>
      <c r="MS7" s="764"/>
      <c r="MT7" s="764"/>
      <c r="MU7" s="764"/>
      <c r="MV7" s="764"/>
      <c r="MW7" s="764"/>
      <c r="MX7" s="764"/>
      <c r="MY7" s="764"/>
      <c r="MZ7" s="764"/>
      <c r="NA7" s="764"/>
      <c r="NB7" s="764"/>
      <c r="NC7" s="764"/>
      <c r="ND7" s="764"/>
      <c r="NE7" s="764"/>
      <c r="NF7" s="764"/>
      <c r="NG7" s="764"/>
      <c r="NH7" s="711"/>
      <c r="NI7" s="764"/>
      <c r="NJ7" s="713" t="s">
        <v>1900</v>
      </c>
      <c r="NK7" s="764"/>
      <c r="NL7" s="711"/>
      <c r="NM7" s="713" t="s">
        <v>1904</v>
      </c>
      <c r="NN7" s="764"/>
      <c r="NO7" s="764"/>
      <c r="NP7" s="764"/>
      <c r="NQ7" s="764"/>
      <c r="NR7" s="711"/>
      <c r="NS7" s="713" t="s">
        <v>1910</v>
      </c>
      <c r="NT7" s="764"/>
      <c r="NU7" s="764"/>
      <c r="NV7" s="764"/>
      <c r="NW7" s="764"/>
      <c r="NX7" s="764"/>
      <c r="NY7" s="764"/>
      <c r="NZ7" s="764"/>
      <c r="OA7" s="764"/>
      <c r="OB7" s="2358"/>
    </row>
    <row r="8" spans="1:392" s="763" customFormat="1" ht="13.5" customHeight="1" x14ac:dyDescent="0.15">
      <c r="A8" s="2361"/>
      <c r="B8" s="2363"/>
      <c r="C8" s="2363"/>
      <c r="D8" s="2361"/>
      <c r="E8" s="2364"/>
      <c r="F8" s="2397"/>
      <c r="G8" s="2366"/>
      <c r="H8" s="2369"/>
      <c r="I8" s="2363"/>
      <c r="J8" s="2382"/>
      <c r="K8" s="2383"/>
      <c r="L8" s="2486"/>
      <c r="M8" s="2400"/>
      <c r="N8" s="2403"/>
      <c r="O8" s="2403"/>
      <c r="P8" s="2363"/>
      <c r="Q8" s="2369"/>
      <c r="R8" s="2363"/>
      <c r="S8" s="2363"/>
      <c r="T8" s="2392"/>
      <c r="U8" s="2394"/>
      <c r="V8" s="2394"/>
      <c r="W8" s="2394"/>
      <c r="X8" s="2394"/>
      <c r="Y8" s="2394"/>
      <c r="Z8" s="2394"/>
      <c r="AA8" s="2394"/>
      <c r="AB8" s="2394"/>
      <c r="AC8" s="2394"/>
      <c r="AD8" s="2394"/>
      <c r="AE8" s="2385"/>
      <c r="AF8" s="2389"/>
      <c r="AG8" s="2438"/>
      <c r="AH8" s="2385" t="s">
        <v>206</v>
      </c>
      <c r="AI8" s="2385" t="s">
        <v>554</v>
      </c>
      <c r="AJ8" s="2385" t="s">
        <v>555</v>
      </c>
      <c r="AK8" s="2385" t="s">
        <v>556</v>
      </c>
      <c r="AL8" s="2385" t="s">
        <v>207</v>
      </c>
      <c r="AM8" s="2385" t="s">
        <v>557</v>
      </c>
      <c r="AN8" s="2438"/>
      <c r="AO8" s="2385" t="s">
        <v>206</v>
      </c>
      <c r="AP8" s="2385" t="s">
        <v>554</v>
      </c>
      <c r="AQ8" s="2385" t="s">
        <v>555</v>
      </c>
      <c r="AR8" s="2385" t="s">
        <v>207</v>
      </c>
      <c r="AS8" s="2385" t="s">
        <v>558</v>
      </c>
      <c r="AT8" s="2385" t="s">
        <v>559</v>
      </c>
      <c r="AU8" s="2438"/>
      <c r="AV8" s="2385" t="s">
        <v>206</v>
      </c>
      <c r="AW8" s="2385" t="s">
        <v>554</v>
      </c>
      <c r="AX8" s="2385" t="s">
        <v>560</v>
      </c>
      <c r="AY8" s="2385" t="s">
        <v>555</v>
      </c>
      <c r="AZ8" s="2385" t="s">
        <v>561</v>
      </c>
      <c r="BA8" s="2385" t="s">
        <v>562</v>
      </c>
      <c r="BB8" s="2385" t="s">
        <v>563</v>
      </c>
      <c r="BC8" s="2438"/>
      <c r="BD8" s="2385" t="s">
        <v>206</v>
      </c>
      <c r="BE8" s="2385" t="s">
        <v>554</v>
      </c>
      <c r="BF8" s="2385" t="s">
        <v>207</v>
      </c>
      <c r="BG8" s="2385" t="s">
        <v>564</v>
      </c>
      <c r="BH8" s="2530" t="s">
        <v>565</v>
      </c>
      <c r="BI8" s="2531" t="s">
        <v>566</v>
      </c>
      <c r="BJ8" s="2438" t="s">
        <v>567</v>
      </c>
      <c r="BK8" s="2532" t="s">
        <v>568</v>
      </c>
      <c r="BL8" s="2533"/>
      <c r="BM8" s="2533"/>
      <c r="BN8" s="2533"/>
      <c r="BO8" s="2533"/>
      <c r="BP8" s="2534"/>
      <c r="BQ8" s="2386" t="s">
        <v>569</v>
      </c>
      <c r="BR8" s="2532" t="s">
        <v>570</v>
      </c>
      <c r="BS8" s="2533"/>
      <c r="BT8" s="2533"/>
      <c r="BU8" s="2533"/>
      <c r="BV8" s="2533"/>
      <c r="BW8" s="2534"/>
      <c r="BX8" s="2386" t="s">
        <v>571</v>
      </c>
      <c r="BY8" s="2532" t="s">
        <v>572</v>
      </c>
      <c r="BZ8" s="2533"/>
      <c r="CA8" s="2533"/>
      <c r="CB8" s="2533"/>
      <c r="CC8" s="2533"/>
      <c r="CD8" s="2533"/>
      <c r="CE8" s="2534"/>
      <c r="CF8" s="2386" t="s">
        <v>573</v>
      </c>
      <c r="CG8" s="2532" t="s">
        <v>574</v>
      </c>
      <c r="CH8" s="2533"/>
      <c r="CI8" s="2533"/>
      <c r="CJ8" s="2533"/>
      <c r="CK8" s="2533"/>
      <c r="CL8" s="2535" t="s">
        <v>575</v>
      </c>
      <c r="CM8" s="2389" t="s">
        <v>576</v>
      </c>
      <c r="CN8" s="2438" t="s">
        <v>577</v>
      </c>
      <c r="CO8" s="2532" t="s">
        <v>578</v>
      </c>
      <c r="CP8" s="2533"/>
      <c r="CQ8" s="2533"/>
      <c r="CR8" s="2533"/>
      <c r="CS8" s="2533"/>
      <c r="CT8" s="2534"/>
      <c r="CU8" s="2386" t="s">
        <v>579</v>
      </c>
      <c r="CV8" s="2532" t="s">
        <v>580</v>
      </c>
      <c r="CW8" s="2533"/>
      <c r="CX8" s="2533"/>
      <c r="CY8" s="2533"/>
      <c r="CZ8" s="2533"/>
      <c r="DA8" s="2534"/>
      <c r="DB8" s="2386" t="s">
        <v>581</v>
      </c>
      <c r="DC8" s="2532" t="s">
        <v>582</v>
      </c>
      <c r="DD8" s="2533"/>
      <c r="DE8" s="2533"/>
      <c r="DF8" s="2533"/>
      <c r="DG8" s="2533"/>
      <c r="DH8" s="2533"/>
      <c r="DI8" s="2534"/>
      <c r="DJ8" s="2386" t="s">
        <v>583</v>
      </c>
      <c r="DK8" s="2575" t="s">
        <v>584</v>
      </c>
      <c r="DL8" s="2576"/>
      <c r="DM8" s="2576"/>
      <c r="DN8" s="2576"/>
      <c r="DO8" s="2576"/>
      <c r="DP8" s="2400"/>
      <c r="DQ8" s="2423"/>
      <c r="DR8" s="2441"/>
      <c r="DS8" s="2538" t="s">
        <v>585</v>
      </c>
      <c r="DT8" s="970"/>
      <c r="DU8" s="970"/>
      <c r="DV8" s="970"/>
      <c r="DW8" s="971"/>
      <c r="DX8" s="2539" t="s">
        <v>2013</v>
      </c>
      <c r="DY8" s="2539" t="s">
        <v>586</v>
      </c>
      <c r="DZ8" s="2539" t="s">
        <v>587</v>
      </c>
      <c r="EA8" s="2539" t="s">
        <v>588</v>
      </c>
      <c r="EB8" s="2539" t="s">
        <v>589</v>
      </c>
      <c r="EC8" s="2438"/>
      <c r="ED8" s="2361" t="s">
        <v>590</v>
      </c>
      <c r="EE8" s="2504" t="s">
        <v>591</v>
      </c>
      <c r="EF8" s="2505"/>
      <c r="EG8" s="2579"/>
      <c r="EH8" s="2430"/>
      <c r="EI8" s="2437" t="s">
        <v>590</v>
      </c>
      <c r="EJ8" s="2369"/>
      <c r="EK8" s="2391"/>
      <c r="EL8" s="2391"/>
      <c r="EM8" s="2504" t="s">
        <v>624</v>
      </c>
      <c r="EN8" s="2505"/>
      <c r="EO8" s="2369"/>
      <c r="EP8" s="2422" t="s">
        <v>542</v>
      </c>
      <c r="EQ8" s="2391"/>
      <c r="ER8" s="2391"/>
      <c r="ES8" s="2504" t="s">
        <v>624</v>
      </c>
      <c r="ET8" s="2505"/>
      <c r="EU8" s="2369"/>
      <c r="EV8" s="2422" t="s">
        <v>542</v>
      </c>
      <c r="EW8" s="2499"/>
      <c r="EX8" s="2500"/>
      <c r="EY8" s="2418"/>
      <c r="EZ8" s="2499"/>
      <c r="FA8" s="2500"/>
      <c r="FB8" s="2418"/>
      <c r="FC8" s="2501"/>
      <c r="FD8" s="2502"/>
      <c r="FE8" s="2503"/>
      <c r="FF8" s="2391"/>
      <c r="FG8" s="2391"/>
      <c r="FH8" s="2504" t="s">
        <v>624</v>
      </c>
      <c r="FI8" s="2505"/>
      <c r="FJ8" s="2369"/>
      <c r="FK8" s="2422" t="s">
        <v>625</v>
      </c>
      <c r="FL8" s="2429" t="s">
        <v>626</v>
      </c>
      <c r="FM8" s="2429" t="s">
        <v>627</v>
      </c>
      <c r="FN8" s="2429" t="s">
        <v>628</v>
      </c>
      <c r="FO8" s="2429" t="s">
        <v>629</v>
      </c>
      <c r="FP8" s="2429" t="s">
        <v>630</v>
      </c>
      <c r="FQ8" s="2429" t="s">
        <v>631</v>
      </c>
      <c r="FR8" s="2429" t="s">
        <v>632</v>
      </c>
      <c r="FS8" s="2429" t="s">
        <v>633</v>
      </c>
      <c r="FT8" s="2484" t="s">
        <v>408</v>
      </c>
      <c r="FU8" s="887"/>
      <c r="FV8" s="2429" t="s">
        <v>634</v>
      </c>
      <c r="FW8" s="2429" t="s">
        <v>635</v>
      </c>
      <c r="FX8" s="2429" t="s">
        <v>636</v>
      </c>
      <c r="FY8" s="2429" t="s">
        <v>637</v>
      </c>
      <c r="FZ8" s="2429" t="s">
        <v>638</v>
      </c>
      <c r="GA8" s="2429" t="s">
        <v>639</v>
      </c>
      <c r="GB8" s="2429" t="s">
        <v>640</v>
      </c>
      <c r="GC8" s="2429" t="s">
        <v>641</v>
      </c>
      <c r="GD8" s="2429" t="s">
        <v>642</v>
      </c>
      <c r="GE8" s="2429" t="s">
        <v>643</v>
      </c>
      <c r="GF8" s="2484" t="s">
        <v>408</v>
      </c>
      <c r="GG8" s="887"/>
      <c r="GH8" s="2391"/>
      <c r="GI8" s="2369"/>
      <c r="GJ8" s="2369"/>
      <c r="GK8" s="2422" t="s">
        <v>625</v>
      </c>
      <c r="GL8" s="2430"/>
      <c r="GM8" s="2430"/>
      <c r="GN8" s="2507"/>
      <c r="GO8" s="2580" t="s">
        <v>644</v>
      </c>
      <c r="GP8" s="2580" t="s">
        <v>645</v>
      </c>
      <c r="GQ8" s="2469"/>
      <c r="GR8" s="2581" t="s">
        <v>646</v>
      </c>
      <c r="GS8" s="2581" t="s">
        <v>647</v>
      </c>
      <c r="GT8" s="2581" t="s">
        <v>648</v>
      </c>
      <c r="GU8" s="2416"/>
      <c r="GV8" s="2417"/>
      <c r="GW8" s="2418"/>
      <c r="GX8" s="2391"/>
      <c r="GY8" s="2369"/>
      <c r="GZ8" s="2369"/>
      <c r="HA8" s="2422" t="s">
        <v>625</v>
      </c>
      <c r="HB8" s="2416"/>
      <c r="HC8" s="2417"/>
      <c r="HD8" s="2418"/>
      <c r="HE8" s="2391"/>
      <c r="HF8" s="2369"/>
      <c r="HG8" s="2430"/>
      <c r="HH8" s="2422" t="s">
        <v>625</v>
      </c>
      <c r="HI8" s="2416"/>
      <c r="HJ8" s="2417"/>
      <c r="HK8" s="2556"/>
      <c r="HL8" s="2557"/>
      <c r="HM8" s="2557"/>
      <c r="HN8" s="2463"/>
      <c r="HO8" s="2469"/>
      <c r="HP8" s="2472"/>
      <c r="HQ8" s="2479"/>
      <c r="HR8" s="2466"/>
      <c r="HS8" s="2361"/>
      <c r="HT8" s="2479"/>
      <c r="HU8" s="2361"/>
      <c r="HV8" s="2391"/>
      <c r="HW8" s="2479"/>
      <c r="HX8" s="2479"/>
      <c r="HY8" s="2383"/>
      <c r="HZ8" s="2383"/>
      <c r="IA8" s="2479"/>
      <c r="IB8" s="2479"/>
      <c r="IC8" s="2479"/>
      <c r="ID8" s="2479"/>
      <c r="IE8" s="2479"/>
      <c r="IF8" s="2479"/>
      <c r="IG8" s="2391"/>
      <c r="IH8" s="2391"/>
      <c r="II8" s="2361"/>
      <c r="IJ8" s="2392"/>
      <c r="IK8" s="2441"/>
      <c r="IL8" s="2548" t="s">
        <v>707</v>
      </c>
      <c r="IM8" s="2476" t="s">
        <v>708</v>
      </c>
      <c r="IN8" s="2551" t="s">
        <v>709</v>
      </c>
      <c r="IO8" s="2482" t="s">
        <v>771</v>
      </c>
      <c r="IP8" s="2482" t="s">
        <v>710</v>
      </c>
      <c r="IQ8" s="2482" t="s">
        <v>711</v>
      </c>
      <c r="IR8" s="2482" t="s">
        <v>712</v>
      </c>
      <c r="IS8" s="2482" t="s">
        <v>2312</v>
      </c>
      <c r="IT8" s="2482" t="s">
        <v>2313</v>
      </c>
      <c r="IU8" s="2482" t="s">
        <v>2314</v>
      </c>
      <c r="IV8" s="2540" t="s">
        <v>2315</v>
      </c>
      <c r="IW8" s="2385"/>
      <c r="IX8" s="2542" t="s">
        <v>713</v>
      </c>
      <c r="IY8" s="2544" t="s">
        <v>714</v>
      </c>
      <c r="IZ8" s="2544" t="s">
        <v>715</v>
      </c>
      <c r="JA8" s="2385"/>
      <c r="JB8" s="2377"/>
      <c r="JC8" s="2377"/>
      <c r="JD8" s="2377"/>
      <c r="JE8" s="2377"/>
      <c r="JF8" s="2377"/>
      <c r="JG8" s="2379"/>
      <c r="JH8" s="2379"/>
      <c r="JI8" s="2379"/>
      <c r="JJ8" s="2474"/>
      <c r="JK8" s="2497"/>
      <c r="JL8" s="2438"/>
      <c r="JM8" s="2477"/>
      <c r="JN8" s="2477"/>
      <c r="JO8" s="2477"/>
      <c r="JP8" s="2477"/>
      <c r="JQ8" s="2476" t="s">
        <v>600</v>
      </c>
      <c r="JR8" s="2438"/>
      <c r="JS8" s="2477"/>
      <c r="JT8" s="2477"/>
      <c r="JU8" s="2477"/>
      <c r="JV8" s="2477"/>
      <c r="JW8" s="2477"/>
      <c r="JX8" s="2477"/>
      <c r="JY8" s="2477"/>
      <c r="JZ8" s="2477"/>
      <c r="KA8" s="2477"/>
      <c r="KB8" s="2477"/>
      <c r="KC8" s="2476" t="s">
        <v>600</v>
      </c>
      <c r="KD8" s="2526"/>
      <c r="KE8" s="2528"/>
      <c r="KF8" s="2528"/>
      <c r="KG8" s="2528"/>
      <c r="KH8" s="2514"/>
      <c r="KI8" s="2521" t="s">
        <v>1833</v>
      </c>
      <c r="KJ8" s="2521" t="s">
        <v>1834</v>
      </c>
      <c r="KK8" s="2521" t="s">
        <v>1836</v>
      </c>
      <c r="KL8" s="2521" t="s">
        <v>1837</v>
      </c>
      <c r="KM8" s="2521" t="s">
        <v>1838</v>
      </c>
      <c r="KN8" s="2521" t="s">
        <v>1839</v>
      </c>
      <c r="KO8" s="2522" t="s">
        <v>1840</v>
      </c>
      <c r="KP8" s="2521" t="s">
        <v>1841</v>
      </c>
      <c r="KQ8" s="2561" t="s">
        <v>1842</v>
      </c>
      <c r="KR8" s="176"/>
      <c r="KS8" s="2527" t="s">
        <v>1844</v>
      </c>
      <c r="KT8" s="2527" t="s">
        <v>1845</v>
      </c>
      <c r="KU8" s="2527" t="s">
        <v>1846</v>
      </c>
      <c r="KV8" s="2558" t="s">
        <v>1847</v>
      </c>
      <c r="KW8" s="2527" t="s">
        <v>1848</v>
      </c>
      <c r="KX8" s="2558" t="s">
        <v>1849</v>
      </c>
      <c r="KY8" s="2558" t="s">
        <v>1850</v>
      </c>
      <c r="KZ8" s="2558" t="s">
        <v>1851</v>
      </c>
      <c r="LA8" s="2558" t="s">
        <v>1852</v>
      </c>
      <c r="LB8" s="2561" t="s">
        <v>1853</v>
      </c>
      <c r="LC8" s="176"/>
      <c r="LD8" s="2521" t="s">
        <v>1855</v>
      </c>
      <c r="LE8" s="2558" t="s">
        <v>1856</v>
      </c>
      <c r="LF8" s="2558" t="s">
        <v>1857</v>
      </c>
      <c r="LG8" s="2561" t="s">
        <v>1853</v>
      </c>
      <c r="LH8" s="176"/>
      <c r="LI8" s="2562" t="s">
        <v>1859</v>
      </c>
      <c r="LJ8" s="2558" t="s">
        <v>1861</v>
      </c>
      <c r="LK8" s="2558" t="s">
        <v>1862</v>
      </c>
      <c r="LL8" s="2558" t="s">
        <v>1863</v>
      </c>
      <c r="LM8" s="2558" t="s">
        <v>1864</v>
      </c>
      <c r="LN8" s="2558" t="s">
        <v>1865</v>
      </c>
      <c r="LO8" s="2565" t="s">
        <v>1866</v>
      </c>
      <c r="LP8" s="176"/>
      <c r="LQ8" s="2519"/>
      <c r="LR8" s="2521" t="s">
        <v>1869</v>
      </c>
      <c r="LS8" s="2521" t="s">
        <v>1834</v>
      </c>
      <c r="LT8" s="2521" t="s">
        <v>1836</v>
      </c>
      <c r="LU8" s="2521" t="s">
        <v>1837</v>
      </c>
      <c r="LV8" s="2521" t="s">
        <v>1838</v>
      </c>
      <c r="LW8" s="2521" t="s">
        <v>1839</v>
      </c>
      <c r="LX8" s="2522" t="s">
        <v>1840</v>
      </c>
      <c r="LY8" s="2521" t="s">
        <v>1841</v>
      </c>
      <c r="LZ8" s="2561" t="s">
        <v>1842</v>
      </c>
      <c r="MA8" s="176"/>
      <c r="MB8" s="2527" t="s">
        <v>1871</v>
      </c>
      <c r="MC8" s="2527" t="s">
        <v>1872</v>
      </c>
      <c r="MD8" s="2527" t="s">
        <v>1873</v>
      </c>
      <c r="ME8" s="2558" t="s">
        <v>1874</v>
      </c>
      <c r="MF8" s="2527" t="s">
        <v>1875</v>
      </c>
      <c r="MG8" s="2558" t="s">
        <v>1876</v>
      </c>
      <c r="MH8" s="2558" t="s">
        <v>1877</v>
      </c>
      <c r="MI8" s="2558" t="s">
        <v>1878</v>
      </c>
      <c r="MJ8" s="2558" t="s">
        <v>1879</v>
      </c>
      <c r="MK8" s="2561" t="s">
        <v>1880</v>
      </c>
      <c r="ML8" s="2561" t="s">
        <v>1881</v>
      </c>
      <c r="MM8" s="176"/>
      <c r="MN8" s="2562" t="s">
        <v>1882</v>
      </c>
      <c r="MO8" s="2568" t="s">
        <v>1885</v>
      </c>
      <c r="MP8" s="713" t="s">
        <v>1887</v>
      </c>
      <c r="MQ8" s="764"/>
      <c r="MR8" s="764"/>
      <c r="MS8" s="764"/>
      <c r="MT8" s="764"/>
      <c r="MU8" s="764"/>
      <c r="MV8" s="764"/>
      <c r="MW8" s="764"/>
      <c r="MX8" s="711"/>
      <c r="MY8" s="764"/>
      <c r="MZ8" s="713" t="s">
        <v>1898</v>
      </c>
      <c r="NA8" s="764"/>
      <c r="NB8" s="764"/>
      <c r="NC8" s="764"/>
      <c r="ND8" s="764"/>
      <c r="NE8" s="764"/>
      <c r="NF8" s="764"/>
      <c r="NG8" s="764"/>
      <c r="NH8" s="711"/>
      <c r="NI8" s="764"/>
      <c r="NJ8" s="2572" t="s">
        <v>1901</v>
      </c>
      <c r="NK8" s="870"/>
      <c r="NL8" s="969"/>
      <c r="NM8" s="2571" t="s">
        <v>1905</v>
      </c>
      <c r="NN8" s="2571" t="s">
        <v>1906</v>
      </c>
      <c r="NO8" s="2571" t="s">
        <v>1907</v>
      </c>
      <c r="NP8" s="2571" t="s">
        <v>1908</v>
      </c>
      <c r="NQ8" s="2561" t="s">
        <v>1909</v>
      </c>
      <c r="NR8" s="176"/>
      <c r="NS8" s="2571" t="s">
        <v>1911</v>
      </c>
      <c r="NT8" s="2571" t="s">
        <v>1845</v>
      </c>
      <c r="NU8" s="2571" t="s">
        <v>1846</v>
      </c>
      <c r="NV8" s="2558" t="s">
        <v>1912</v>
      </c>
      <c r="NW8" s="2558" t="s">
        <v>1913</v>
      </c>
      <c r="NX8" s="2558" t="s">
        <v>1914</v>
      </c>
      <c r="NY8" s="2571" t="s">
        <v>1915</v>
      </c>
      <c r="NZ8" s="2561" t="s">
        <v>1916</v>
      </c>
      <c r="OA8" s="719"/>
      <c r="OB8" s="2358"/>
    </row>
    <row r="9" spans="1:392" s="763" customFormat="1" ht="13.5" customHeight="1" x14ac:dyDescent="0.15">
      <c r="A9" s="2361"/>
      <c r="B9" s="2363"/>
      <c r="C9" s="2363"/>
      <c r="D9" s="2361"/>
      <c r="E9" s="2364"/>
      <c r="F9" s="2397"/>
      <c r="G9" s="2366"/>
      <c r="H9" s="2369"/>
      <c r="I9" s="2363"/>
      <c r="J9" s="2382"/>
      <c r="K9" s="2383"/>
      <c r="L9" s="2486"/>
      <c r="M9" s="2400"/>
      <c r="N9" s="2403"/>
      <c r="O9" s="2403"/>
      <c r="P9" s="2363"/>
      <c r="Q9" s="2369"/>
      <c r="R9" s="2363"/>
      <c r="S9" s="2363"/>
      <c r="T9" s="2392"/>
      <c r="U9" s="2394"/>
      <c r="V9" s="2394"/>
      <c r="W9" s="2394"/>
      <c r="X9" s="2394"/>
      <c r="Y9" s="2394"/>
      <c r="Z9" s="2394"/>
      <c r="AA9" s="2394"/>
      <c r="AB9" s="2394"/>
      <c r="AC9" s="2394"/>
      <c r="AD9" s="2394"/>
      <c r="AE9" s="2385"/>
      <c r="AF9" s="2389"/>
      <c r="AG9" s="2438"/>
      <c r="AH9" s="2385"/>
      <c r="AI9" s="2385"/>
      <c r="AJ9" s="2385"/>
      <c r="AK9" s="2385"/>
      <c r="AL9" s="2385"/>
      <c r="AM9" s="2385"/>
      <c r="AN9" s="2438"/>
      <c r="AO9" s="2385"/>
      <c r="AP9" s="2385"/>
      <c r="AQ9" s="2385"/>
      <c r="AR9" s="2385"/>
      <c r="AS9" s="2385"/>
      <c r="AT9" s="2385"/>
      <c r="AU9" s="2438"/>
      <c r="AV9" s="2385"/>
      <c r="AW9" s="2385"/>
      <c r="AX9" s="2385"/>
      <c r="AY9" s="2385"/>
      <c r="AZ9" s="2385"/>
      <c r="BA9" s="2385"/>
      <c r="BB9" s="2385"/>
      <c r="BC9" s="2438"/>
      <c r="BD9" s="2385"/>
      <c r="BE9" s="2385"/>
      <c r="BF9" s="2385"/>
      <c r="BG9" s="2385"/>
      <c r="BH9" s="2530"/>
      <c r="BI9" s="2389"/>
      <c r="BJ9" s="2438"/>
      <c r="BK9" s="2369" t="s">
        <v>206</v>
      </c>
      <c r="BL9" s="2369" t="s">
        <v>554</v>
      </c>
      <c r="BM9" s="2369" t="s">
        <v>555</v>
      </c>
      <c r="BN9" s="2369" t="s">
        <v>556</v>
      </c>
      <c r="BO9" s="2430" t="s">
        <v>207</v>
      </c>
      <c r="BP9" s="2363" t="s">
        <v>557</v>
      </c>
      <c r="BQ9" s="2391"/>
      <c r="BR9" s="2369" t="s">
        <v>206</v>
      </c>
      <c r="BS9" s="2369" t="s">
        <v>554</v>
      </c>
      <c r="BT9" s="2369" t="s">
        <v>555</v>
      </c>
      <c r="BU9" s="2369" t="s">
        <v>207</v>
      </c>
      <c r="BV9" s="2430" t="s">
        <v>592</v>
      </c>
      <c r="BW9" s="2368" t="s">
        <v>2010</v>
      </c>
      <c r="BX9" s="2391"/>
      <c r="BY9" s="2369" t="s">
        <v>206</v>
      </c>
      <c r="BZ9" s="2369" t="s">
        <v>554</v>
      </c>
      <c r="CA9" s="2369" t="s">
        <v>560</v>
      </c>
      <c r="CB9" s="2369" t="s">
        <v>555</v>
      </c>
      <c r="CC9" s="2369" t="s">
        <v>561</v>
      </c>
      <c r="CD9" s="2430" t="s">
        <v>594</v>
      </c>
      <c r="CE9" s="2368" t="s">
        <v>595</v>
      </c>
      <c r="CF9" s="2391"/>
      <c r="CG9" s="2369" t="s">
        <v>206</v>
      </c>
      <c r="CH9" s="2369" t="s">
        <v>554</v>
      </c>
      <c r="CI9" s="2369" t="s">
        <v>207</v>
      </c>
      <c r="CJ9" s="2430" t="s">
        <v>564</v>
      </c>
      <c r="CK9" s="2430" t="s">
        <v>565</v>
      </c>
      <c r="CL9" s="2536"/>
      <c r="CM9" s="2389"/>
      <c r="CN9" s="2438"/>
      <c r="CO9" s="2369" t="s">
        <v>206</v>
      </c>
      <c r="CP9" s="2369" t="s">
        <v>554</v>
      </c>
      <c r="CQ9" s="2369" t="s">
        <v>555</v>
      </c>
      <c r="CR9" s="2369" t="s">
        <v>556</v>
      </c>
      <c r="CS9" s="2430" t="s">
        <v>207</v>
      </c>
      <c r="CT9" s="2363" t="s">
        <v>557</v>
      </c>
      <c r="CU9" s="2391"/>
      <c r="CV9" s="2369" t="s">
        <v>206</v>
      </c>
      <c r="CW9" s="2369" t="s">
        <v>554</v>
      </c>
      <c r="CX9" s="2369" t="s">
        <v>555</v>
      </c>
      <c r="CY9" s="2369" t="s">
        <v>207</v>
      </c>
      <c r="CZ9" s="2430" t="s">
        <v>592</v>
      </c>
      <c r="DA9" s="2368" t="s">
        <v>593</v>
      </c>
      <c r="DB9" s="2391"/>
      <c r="DC9" s="2369" t="s">
        <v>206</v>
      </c>
      <c r="DD9" s="2369" t="s">
        <v>554</v>
      </c>
      <c r="DE9" s="2369" t="s">
        <v>560</v>
      </c>
      <c r="DF9" s="2369" t="s">
        <v>555</v>
      </c>
      <c r="DG9" s="2369" t="s">
        <v>561</v>
      </c>
      <c r="DH9" s="2430" t="s">
        <v>594</v>
      </c>
      <c r="DI9" s="2368" t="s">
        <v>595</v>
      </c>
      <c r="DJ9" s="2391"/>
      <c r="DK9" s="2369" t="s">
        <v>206</v>
      </c>
      <c r="DL9" s="2369" t="s">
        <v>554</v>
      </c>
      <c r="DM9" s="2369" t="s">
        <v>207</v>
      </c>
      <c r="DN9" s="2430" t="s">
        <v>2011</v>
      </c>
      <c r="DO9" s="2430" t="s">
        <v>2012</v>
      </c>
      <c r="DP9" s="2400"/>
      <c r="DQ9" s="2423"/>
      <c r="DR9" s="2441"/>
      <c r="DS9" s="2391"/>
      <c r="DT9" s="2429" t="s">
        <v>596</v>
      </c>
      <c r="DU9" s="2429" t="s">
        <v>1067</v>
      </c>
      <c r="DV9" s="2484" t="s">
        <v>408</v>
      </c>
      <c r="DW9" s="886"/>
      <c r="DX9" s="2392"/>
      <c r="DY9" s="2392"/>
      <c r="DZ9" s="2392"/>
      <c r="EA9" s="2392"/>
      <c r="EB9" s="2392"/>
      <c r="EC9" s="2438"/>
      <c r="ED9" s="2361"/>
      <c r="EE9" s="2368" t="s">
        <v>597</v>
      </c>
      <c r="EF9" s="2368" t="s">
        <v>598</v>
      </c>
      <c r="EG9" s="2368" t="s">
        <v>599</v>
      </c>
      <c r="EH9" s="2430"/>
      <c r="EI9" s="2437"/>
      <c r="EJ9" s="2369"/>
      <c r="EK9" s="2391"/>
      <c r="EL9" s="2391"/>
      <c r="EM9" s="2368" t="s">
        <v>649</v>
      </c>
      <c r="EN9" s="2412" t="s">
        <v>598</v>
      </c>
      <c r="EO9" s="2369"/>
      <c r="EP9" s="2423"/>
      <c r="EQ9" s="2391"/>
      <c r="ER9" s="2391"/>
      <c r="ES9" s="2368" t="s">
        <v>649</v>
      </c>
      <c r="ET9" s="2412" t="s">
        <v>598</v>
      </c>
      <c r="EU9" s="2369"/>
      <c r="EV9" s="2423"/>
      <c r="EW9" s="2425" t="s">
        <v>650</v>
      </c>
      <c r="EX9" s="2425" t="s">
        <v>651</v>
      </c>
      <c r="EY9" s="2508" t="s">
        <v>652</v>
      </c>
      <c r="EZ9" s="2425" t="s">
        <v>650</v>
      </c>
      <c r="FA9" s="2425" t="s">
        <v>651</v>
      </c>
      <c r="FB9" s="2508" t="s">
        <v>652</v>
      </c>
      <c r="FC9" s="2425" t="s">
        <v>650</v>
      </c>
      <c r="FD9" s="2425" t="s">
        <v>651</v>
      </c>
      <c r="FE9" s="2508" t="s">
        <v>652</v>
      </c>
      <c r="FF9" s="2391"/>
      <c r="FG9" s="2391"/>
      <c r="FH9" s="2368" t="s">
        <v>649</v>
      </c>
      <c r="FI9" s="2412" t="s">
        <v>598</v>
      </c>
      <c r="FJ9" s="2369"/>
      <c r="FK9" s="2423"/>
      <c r="FL9" s="2392"/>
      <c r="FM9" s="2392"/>
      <c r="FN9" s="2392"/>
      <c r="FO9" s="2392"/>
      <c r="FP9" s="2392"/>
      <c r="FQ9" s="2392"/>
      <c r="FR9" s="2392"/>
      <c r="FS9" s="2392"/>
      <c r="FT9" s="2392"/>
      <c r="FU9" s="2429" t="s">
        <v>600</v>
      </c>
      <c r="FV9" s="2392"/>
      <c r="FW9" s="2392"/>
      <c r="FX9" s="2392"/>
      <c r="FY9" s="2392"/>
      <c r="FZ9" s="2392"/>
      <c r="GA9" s="2392"/>
      <c r="GB9" s="2392"/>
      <c r="GC9" s="2392"/>
      <c r="GD9" s="2392"/>
      <c r="GE9" s="2392"/>
      <c r="GF9" s="2392"/>
      <c r="GG9" s="2429" t="s">
        <v>600</v>
      </c>
      <c r="GH9" s="2391"/>
      <c r="GI9" s="2369"/>
      <c r="GJ9" s="2369"/>
      <c r="GK9" s="2423"/>
      <c r="GL9" s="2430"/>
      <c r="GM9" s="2430"/>
      <c r="GN9" s="2469"/>
      <c r="GO9" s="2441"/>
      <c r="GP9" s="2441"/>
      <c r="GQ9" s="2469"/>
      <c r="GR9" s="2423"/>
      <c r="GS9" s="2423"/>
      <c r="GT9" s="2423"/>
      <c r="GU9" s="2426" t="s">
        <v>650</v>
      </c>
      <c r="GV9" s="2425" t="s">
        <v>651</v>
      </c>
      <c r="GW9" s="2508" t="s">
        <v>652</v>
      </c>
      <c r="GX9" s="2391"/>
      <c r="GY9" s="2369"/>
      <c r="GZ9" s="2369"/>
      <c r="HA9" s="2423"/>
      <c r="HB9" s="2426" t="s">
        <v>650</v>
      </c>
      <c r="HC9" s="2425" t="s">
        <v>651</v>
      </c>
      <c r="HD9" s="2508" t="s">
        <v>652</v>
      </c>
      <c r="HE9" s="2391"/>
      <c r="HF9" s="2369"/>
      <c r="HG9" s="2430"/>
      <c r="HH9" s="2547"/>
      <c r="HI9" s="2425" t="s">
        <v>650</v>
      </c>
      <c r="HJ9" s="2425" t="s">
        <v>651</v>
      </c>
      <c r="HK9" s="2508" t="s">
        <v>652</v>
      </c>
      <c r="HL9" s="2557"/>
      <c r="HM9" s="2557"/>
      <c r="HN9" s="2463"/>
      <c r="HO9" s="2469"/>
      <c r="HP9" s="2472"/>
      <c r="HQ9" s="2479"/>
      <c r="HR9" s="2466"/>
      <c r="HS9" s="2361"/>
      <c r="HT9" s="2479"/>
      <c r="HU9" s="2361"/>
      <c r="HV9" s="2391"/>
      <c r="HW9" s="2479"/>
      <c r="HX9" s="2479"/>
      <c r="HY9" s="2383"/>
      <c r="HZ9" s="2383"/>
      <c r="IA9" s="2479"/>
      <c r="IB9" s="2479"/>
      <c r="IC9" s="2479"/>
      <c r="ID9" s="2479"/>
      <c r="IE9" s="2479"/>
      <c r="IF9" s="2479"/>
      <c r="IG9" s="2391"/>
      <c r="IH9" s="2391"/>
      <c r="II9" s="2361"/>
      <c r="IJ9" s="2392"/>
      <c r="IK9" s="2441"/>
      <c r="IL9" s="2549"/>
      <c r="IM9" s="2477"/>
      <c r="IN9" s="2552"/>
      <c r="IO9" s="2483"/>
      <c r="IP9" s="2483"/>
      <c r="IQ9" s="2483"/>
      <c r="IR9" s="2483"/>
      <c r="IS9" s="2483"/>
      <c r="IT9" s="2483"/>
      <c r="IU9" s="2483"/>
      <c r="IV9" s="2541"/>
      <c r="IW9" s="2385"/>
      <c r="IX9" s="2543"/>
      <c r="IY9" s="2545"/>
      <c r="IZ9" s="2545"/>
      <c r="JA9" s="2385"/>
      <c r="JB9" s="2377"/>
      <c r="JC9" s="2377"/>
      <c r="JD9" s="2377"/>
      <c r="JE9" s="2377"/>
      <c r="JF9" s="2377"/>
      <c r="JG9" s="2379"/>
      <c r="JH9" s="2379"/>
      <c r="JI9" s="2379"/>
      <c r="JJ9" s="2474"/>
      <c r="JK9" s="2497"/>
      <c r="JL9" s="2438"/>
      <c r="JM9" s="2477"/>
      <c r="JN9" s="2477"/>
      <c r="JO9" s="2477"/>
      <c r="JP9" s="2477"/>
      <c r="JQ9" s="2477"/>
      <c r="JR9" s="2438"/>
      <c r="JS9" s="2477"/>
      <c r="JT9" s="2477"/>
      <c r="JU9" s="2477"/>
      <c r="JV9" s="2477"/>
      <c r="JW9" s="2477"/>
      <c r="JX9" s="2477"/>
      <c r="JY9" s="2477"/>
      <c r="JZ9" s="2477"/>
      <c r="KA9" s="2477"/>
      <c r="KB9" s="2477"/>
      <c r="KC9" s="2477"/>
      <c r="KD9" s="2526"/>
      <c r="KE9" s="2528"/>
      <c r="KF9" s="2528"/>
      <c r="KG9" s="2528"/>
      <c r="KH9" s="2514"/>
      <c r="KI9" s="2522"/>
      <c r="KJ9" s="2522"/>
      <c r="KK9" s="2522"/>
      <c r="KL9" s="2522"/>
      <c r="KM9" s="2522"/>
      <c r="KN9" s="2522"/>
      <c r="KO9" s="2522"/>
      <c r="KP9" s="2522"/>
      <c r="KQ9" s="2559"/>
      <c r="KR9" s="2559" t="s">
        <v>600</v>
      </c>
      <c r="KS9" s="2522"/>
      <c r="KT9" s="2522"/>
      <c r="KU9" s="2522"/>
      <c r="KV9" s="2559"/>
      <c r="KW9" s="2522"/>
      <c r="KX9" s="2559"/>
      <c r="KY9" s="2559"/>
      <c r="KZ9" s="2559"/>
      <c r="LA9" s="2559"/>
      <c r="LB9" s="2559"/>
      <c r="LC9" s="2559" t="s">
        <v>600</v>
      </c>
      <c r="LD9" s="2522"/>
      <c r="LE9" s="2559"/>
      <c r="LF9" s="2559"/>
      <c r="LG9" s="2559"/>
      <c r="LH9" s="2559" t="s">
        <v>600</v>
      </c>
      <c r="LI9" s="2563"/>
      <c r="LJ9" s="2559"/>
      <c r="LK9" s="2559"/>
      <c r="LL9" s="2559"/>
      <c r="LM9" s="2559"/>
      <c r="LN9" s="2559"/>
      <c r="LO9" s="2566"/>
      <c r="LP9" s="2559" t="s">
        <v>600</v>
      </c>
      <c r="LQ9" s="2519"/>
      <c r="LR9" s="2522"/>
      <c r="LS9" s="2522"/>
      <c r="LT9" s="2522"/>
      <c r="LU9" s="2522"/>
      <c r="LV9" s="2522"/>
      <c r="LW9" s="2522"/>
      <c r="LX9" s="2522"/>
      <c r="LY9" s="2522"/>
      <c r="LZ9" s="2559"/>
      <c r="MA9" s="2559" t="s">
        <v>600</v>
      </c>
      <c r="MB9" s="2522"/>
      <c r="MC9" s="2522"/>
      <c r="MD9" s="2522"/>
      <c r="ME9" s="2559"/>
      <c r="MF9" s="2522"/>
      <c r="MG9" s="2559"/>
      <c r="MH9" s="2559"/>
      <c r="MI9" s="2559"/>
      <c r="MJ9" s="2559"/>
      <c r="MK9" s="2559"/>
      <c r="ML9" s="2559"/>
      <c r="MM9" s="2559" t="s">
        <v>600</v>
      </c>
      <c r="MN9" s="2563"/>
      <c r="MO9" s="2569"/>
      <c r="MP9" s="2569" t="s">
        <v>1886</v>
      </c>
      <c r="MQ9" s="2563" t="s">
        <v>1894</v>
      </c>
      <c r="MR9" s="2563" t="s">
        <v>1895</v>
      </c>
      <c r="MS9" s="2563" t="s">
        <v>1888</v>
      </c>
      <c r="MT9" s="2563" t="s">
        <v>1889</v>
      </c>
      <c r="MU9" s="2563" t="s">
        <v>1890</v>
      </c>
      <c r="MV9" s="2563" t="s">
        <v>1891</v>
      </c>
      <c r="MW9" s="2563" t="s">
        <v>1892</v>
      </c>
      <c r="MX9" s="2563" t="s">
        <v>1893</v>
      </c>
      <c r="MY9" s="2352" t="s">
        <v>408</v>
      </c>
      <c r="MZ9" s="2569" t="s">
        <v>1896</v>
      </c>
      <c r="NA9" s="2563" t="s">
        <v>1894</v>
      </c>
      <c r="NB9" s="2563" t="s">
        <v>1895</v>
      </c>
      <c r="NC9" s="2563" t="s">
        <v>1888</v>
      </c>
      <c r="ND9" s="2563" t="s">
        <v>1889</v>
      </c>
      <c r="NE9" s="2563" t="s">
        <v>1890</v>
      </c>
      <c r="NF9" s="2563" t="s">
        <v>1891</v>
      </c>
      <c r="NG9" s="2563" t="s">
        <v>1892</v>
      </c>
      <c r="NH9" s="2563" t="s">
        <v>1893</v>
      </c>
      <c r="NI9" s="2352" t="s">
        <v>408</v>
      </c>
      <c r="NJ9" s="2573"/>
      <c r="NK9" s="2573" t="s">
        <v>1902</v>
      </c>
      <c r="NL9" s="2574" t="s">
        <v>1903</v>
      </c>
      <c r="NM9" s="2559"/>
      <c r="NN9" s="2559"/>
      <c r="NO9" s="2559"/>
      <c r="NP9" s="2559"/>
      <c r="NQ9" s="2559"/>
      <c r="NR9" s="2559" t="s">
        <v>600</v>
      </c>
      <c r="NS9" s="2559"/>
      <c r="NT9" s="2559"/>
      <c r="NU9" s="2559"/>
      <c r="NV9" s="2559"/>
      <c r="NW9" s="2559"/>
      <c r="NX9" s="2559"/>
      <c r="NY9" s="2559"/>
      <c r="NZ9" s="2559"/>
      <c r="OA9" s="2571" t="s">
        <v>600</v>
      </c>
      <c r="OB9" s="2358"/>
    </row>
    <row r="10" spans="1:392" s="763" customFormat="1" x14ac:dyDescent="0.15">
      <c r="A10" s="2361"/>
      <c r="B10" s="2363"/>
      <c r="C10" s="2363"/>
      <c r="D10" s="2361"/>
      <c r="E10" s="2364"/>
      <c r="F10" s="2397"/>
      <c r="G10" s="2366"/>
      <c r="H10" s="2369"/>
      <c r="I10" s="2363"/>
      <c r="J10" s="2382"/>
      <c r="K10" s="2383"/>
      <c r="L10" s="2486"/>
      <c r="M10" s="2400"/>
      <c r="N10" s="2403"/>
      <c r="O10" s="2403"/>
      <c r="P10" s="2363"/>
      <c r="Q10" s="2369"/>
      <c r="R10" s="2363"/>
      <c r="S10" s="2363"/>
      <c r="T10" s="2392"/>
      <c r="U10" s="2394"/>
      <c r="V10" s="2394"/>
      <c r="W10" s="2394"/>
      <c r="X10" s="2394"/>
      <c r="Y10" s="2394"/>
      <c r="Z10" s="2394"/>
      <c r="AA10" s="2394"/>
      <c r="AB10" s="2394"/>
      <c r="AC10" s="2394"/>
      <c r="AD10" s="2394"/>
      <c r="AE10" s="2385"/>
      <c r="AF10" s="2389"/>
      <c r="AG10" s="2438"/>
      <c r="AH10" s="2385"/>
      <c r="AI10" s="2385"/>
      <c r="AJ10" s="2385"/>
      <c r="AK10" s="2385"/>
      <c r="AL10" s="2385"/>
      <c r="AM10" s="2385"/>
      <c r="AN10" s="2438"/>
      <c r="AO10" s="2385"/>
      <c r="AP10" s="2385"/>
      <c r="AQ10" s="2385"/>
      <c r="AR10" s="2385"/>
      <c r="AS10" s="2385"/>
      <c r="AT10" s="2385"/>
      <c r="AU10" s="2438"/>
      <c r="AV10" s="2385"/>
      <c r="AW10" s="2385"/>
      <c r="AX10" s="2385"/>
      <c r="AY10" s="2385"/>
      <c r="AZ10" s="2385"/>
      <c r="BA10" s="2385"/>
      <c r="BB10" s="2385"/>
      <c r="BC10" s="2438"/>
      <c r="BD10" s="2385"/>
      <c r="BE10" s="2385"/>
      <c r="BF10" s="2385"/>
      <c r="BG10" s="2385"/>
      <c r="BH10" s="2530"/>
      <c r="BI10" s="2389"/>
      <c r="BJ10" s="2438"/>
      <c r="BK10" s="2369"/>
      <c r="BL10" s="2369"/>
      <c r="BM10" s="2369"/>
      <c r="BN10" s="2369"/>
      <c r="BO10" s="2430"/>
      <c r="BP10" s="2363"/>
      <c r="BQ10" s="2391"/>
      <c r="BR10" s="2369"/>
      <c r="BS10" s="2369"/>
      <c r="BT10" s="2369"/>
      <c r="BU10" s="2369"/>
      <c r="BV10" s="2430"/>
      <c r="BW10" s="2369"/>
      <c r="BX10" s="2391"/>
      <c r="BY10" s="2369"/>
      <c r="BZ10" s="2369"/>
      <c r="CA10" s="2369"/>
      <c r="CB10" s="2369"/>
      <c r="CC10" s="2369"/>
      <c r="CD10" s="2430"/>
      <c r="CE10" s="2369"/>
      <c r="CF10" s="2391"/>
      <c r="CG10" s="2369"/>
      <c r="CH10" s="2369"/>
      <c r="CI10" s="2369"/>
      <c r="CJ10" s="2430"/>
      <c r="CK10" s="2430"/>
      <c r="CL10" s="2536"/>
      <c r="CM10" s="2389"/>
      <c r="CN10" s="2438"/>
      <c r="CO10" s="2369"/>
      <c r="CP10" s="2369"/>
      <c r="CQ10" s="2369"/>
      <c r="CR10" s="2369"/>
      <c r="CS10" s="2430"/>
      <c r="CT10" s="2363"/>
      <c r="CU10" s="2391"/>
      <c r="CV10" s="2369"/>
      <c r="CW10" s="2369"/>
      <c r="CX10" s="2369"/>
      <c r="CY10" s="2369"/>
      <c r="CZ10" s="2430"/>
      <c r="DA10" s="2369"/>
      <c r="DB10" s="2391"/>
      <c r="DC10" s="2369"/>
      <c r="DD10" s="2369"/>
      <c r="DE10" s="2369"/>
      <c r="DF10" s="2369"/>
      <c r="DG10" s="2369"/>
      <c r="DH10" s="2430"/>
      <c r="DI10" s="2369"/>
      <c r="DJ10" s="2391"/>
      <c r="DK10" s="2369"/>
      <c r="DL10" s="2369"/>
      <c r="DM10" s="2369"/>
      <c r="DN10" s="2430"/>
      <c r="DO10" s="2430"/>
      <c r="DP10" s="2400"/>
      <c r="DQ10" s="2423"/>
      <c r="DR10" s="2441"/>
      <c r="DS10" s="2391"/>
      <c r="DT10" s="2441"/>
      <c r="DU10" s="2441"/>
      <c r="DV10" s="2577"/>
      <c r="DW10" s="2429" t="s">
        <v>600</v>
      </c>
      <c r="DX10" s="2392"/>
      <c r="DY10" s="2392"/>
      <c r="DZ10" s="2392"/>
      <c r="EA10" s="2392"/>
      <c r="EB10" s="2392"/>
      <c r="EC10" s="2438"/>
      <c r="ED10" s="2361"/>
      <c r="EE10" s="2369"/>
      <c r="EF10" s="2369"/>
      <c r="EG10" s="2369"/>
      <c r="EH10" s="2430"/>
      <c r="EI10" s="2437"/>
      <c r="EJ10" s="2369"/>
      <c r="EK10" s="2391"/>
      <c r="EL10" s="2391"/>
      <c r="EM10" s="2369"/>
      <c r="EN10" s="2430"/>
      <c r="EO10" s="2369"/>
      <c r="EP10" s="2423"/>
      <c r="EQ10" s="2391"/>
      <c r="ER10" s="2391"/>
      <c r="ES10" s="2369"/>
      <c r="ET10" s="2430"/>
      <c r="EU10" s="2369"/>
      <c r="EV10" s="2423"/>
      <c r="EW10" s="2426"/>
      <c r="EX10" s="2426"/>
      <c r="EY10" s="2509"/>
      <c r="EZ10" s="2426"/>
      <c r="FA10" s="2426"/>
      <c r="FB10" s="2509"/>
      <c r="FC10" s="2426"/>
      <c r="FD10" s="2426"/>
      <c r="FE10" s="2509"/>
      <c r="FF10" s="2391"/>
      <c r="FG10" s="2391"/>
      <c r="FH10" s="2369"/>
      <c r="FI10" s="2430"/>
      <c r="FJ10" s="2369"/>
      <c r="FK10" s="2423"/>
      <c r="FL10" s="2392"/>
      <c r="FM10" s="2392"/>
      <c r="FN10" s="2392"/>
      <c r="FO10" s="2392"/>
      <c r="FP10" s="2392"/>
      <c r="FQ10" s="2392"/>
      <c r="FR10" s="2392"/>
      <c r="FS10" s="2392"/>
      <c r="FT10" s="2392"/>
      <c r="FU10" s="2392"/>
      <c r="FV10" s="2392"/>
      <c r="FW10" s="2392"/>
      <c r="FX10" s="2392"/>
      <c r="FY10" s="2392"/>
      <c r="FZ10" s="2392"/>
      <c r="GA10" s="2392"/>
      <c r="GB10" s="2392"/>
      <c r="GC10" s="2392"/>
      <c r="GD10" s="2392"/>
      <c r="GE10" s="2392"/>
      <c r="GF10" s="2392"/>
      <c r="GG10" s="2392"/>
      <c r="GH10" s="2391"/>
      <c r="GI10" s="2369"/>
      <c r="GJ10" s="2369"/>
      <c r="GK10" s="2423"/>
      <c r="GL10" s="2430"/>
      <c r="GM10" s="2430"/>
      <c r="GN10" s="2469"/>
      <c r="GO10" s="2441"/>
      <c r="GP10" s="2441"/>
      <c r="GQ10" s="2469"/>
      <c r="GR10" s="2423"/>
      <c r="GS10" s="2423"/>
      <c r="GT10" s="2423"/>
      <c r="GU10" s="2426"/>
      <c r="GV10" s="2426"/>
      <c r="GW10" s="2509"/>
      <c r="GX10" s="2391"/>
      <c r="GY10" s="2369"/>
      <c r="GZ10" s="2369"/>
      <c r="HA10" s="2423"/>
      <c r="HB10" s="2426"/>
      <c r="HC10" s="2426"/>
      <c r="HD10" s="2509"/>
      <c r="HE10" s="2391"/>
      <c r="HF10" s="2369"/>
      <c r="HG10" s="2430"/>
      <c r="HH10" s="2547"/>
      <c r="HI10" s="2426"/>
      <c r="HJ10" s="2426"/>
      <c r="HK10" s="2553"/>
      <c r="HL10" s="2557"/>
      <c r="HM10" s="2557"/>
      <c r="HN10" s="2463"/>
      <c r="HO10" s="2469"/>
      <c r="HP10" s="2472"/>
      <c r="HQ10" s="2479"/>
      <c r="HR10" s="2466"/>
      <c r="HS10" s="2361"/>
      <c r="HT10" s="2479"/>
      <c r="HU10" s="2361"/>
      <c r="HV10" s="2391"/>
      <c r="HW10" s="2479"/>
      <c r="HX10" s="2479"/>
      <c r="HY10" s="2383"/>
      <c r="HZ10" s="2383"/>
      <c r="IA10" s="2479"/>
      <c r="IB10" s="2479"/>
      <c r="IC10" s="2479"/>
      <c r="ID10" s="2479"/>
      <c r="IE10" s="2479"/>
      <c r="IF10" s="2479"/>
      <c r="IG10" s="2391"/>
      <c r="IH10" s="2391"/>
      <c r="II10" s="2361"/>
      <c r="IJ10" s="2392"/>
      <c r="IK10" s="2441"/>
      <c r="IL10" s="2549"/>
      <c r="IM10" s="2477"/>
      <c r="IN10" s="2552"/>
      <c r="IO10" s="2483"/>
      <c r="IP10" s="2483"/>
      <c r="IQ10" s="2483"/>
      <c r="IR10" s="2483"/>
      <c r="IS10" s="2483"/>
      <c r="IT10" s="2483"/>
      <c r="IU10" s="2483"/>
      <c r="IV10" s="2541"/>
      <c r="IW10" s="2385"/>
      <c r="IX10" s="2543"/>
      <c r="IY10" s="2545"/>
      <c r="IZ10" s="2545"/>
      <c r="JA10" s="2385"/>
      <c r="JB10" s="2377"/>
      <c r="JC10" s="2377"/>
      <c r="JD10" s="2377"/>
      <c r="JE10" s="2377"/>
      <c r="JF10" s="2377"/>
      <c r="JG10" s="2379"/>
      <c r="JH10" s="2379"/>
      <c r="JI10" s="2379"/>
      <c r="JJ10" s="2474"/>
      <c r="JK10" s="2497"/>
      <c r="JL10" s="2438"/>
      <c r="JM10" s="2477"/>
      <c r="JN10" s="2477"/>
      <c r="JO10" s="2477"/>
      <c r="JP10" s="2477"/>
      <c r="JQ10" s="2477"/>
      <c r="JR10" s="2438"/>
      <c r="JS10" s="2477"/>
      <c r="JT10" s="2477"/>
      <c r="JU10" s="2477"/>
      <c r="JV10" s="2477"/>
      <c r="JW10" s="2477"/>
      <c r="JX10" s="2477"/>
      <c r="JY10" s="2477"/>
      <c r="JZ10" s="2477"/>
      <c r="KA10" s="2477"/>
      <c r="KB10" s="2477"/>
      <c r="KC10" s="2477"/>
      <c r="KD10" s="2526"/>
      <c r="KE10" s="2528"/>
      <c r="KF10" s="2528"/>
      <c r="KG10" s="2528"/>
      <c r="KH10" s="2514"/>
      <c r="KI10" s="2522"/>
      <c r="KJ10" s="2522"/>
      <c r="KK10" s="2522"/>
      <c r="KL10" s="2522"/>
      <c r="KM10" s="2522"/>
      <c r="KN10" s="2522"/>
      <c r="KO10" s="2522"/>
      <c r="KP10" s="2522"/>
      <c r="KQ10" s="2559"/>
      <c r="KR10" s="2528"/>
      <c r="KS10" s="2522"/>
      <c r="KT10" s="2522"/>
      <c r="KU10" s="2522"/>
      <c r="KV10" s="2559"/>
      <c r="KW10" s="2522"/>
      <c r="KX10" s="2559"/>
      <c r="KY10" s="2559"/>
      <c r="KZ10" s="2559"/>
      <c r="LA10" s="2559"/>
      <c r="LB10" s="2559"/>
      <c r="LC10" s="2528"/>
      <c r="LD10" s="2522"/>
      <c r="LE10" s="2559"/>
      <c r="LF10" s="2559"/>
      <c r="LG10" s="2559"/>
      <c r="LH10" s="2528"/>
      <c r="LI10" s="2563"/>
      <c r="LJ10" s="2559"/>
      <c r="LK10" s="2559"/>
      <c r="LL10" s="2559"/>
      <c r="LM10" s="2559"/>
      <c r="LN10" s="2559"/>
      <c r="LO10" s="2566"/>
      <c r="LP10" s="2528"/>
      <c r="LQ10" s="2519"/>
      <c r="LR10" s="2522"/>
      <c r="LS10" s="2522"/>
      <c r="LT10" s="2522"/>
      <c r="LU10" s="2522"/>
      <c r="LV10" s="2522"/>
      <c r="LW10" s="2522"/>
      <c r="LX10" s="2522"/>
      <c r="LY10" s="2522"/>
      <c r="LZ10" s="2559"/>
      <c r="MA10" s="2528"/>
      <c r="MB10" s="2522"/>
      <c r="MC10" s="2522"/>
      <c r="MD10" s="2522"/>
      <c r="ME10" s="2559"/>
      <c r="MF10" s="2522"/>
      <c r="MG10" s="2559"/>
      <c r="MH10" s="2559"/>
      <c r="MI10" s="2559"/>
      <c r="MJ10" s="2559"/>
      <c r="MK10" s="2559"/>
      <c r="ML10" s="2559"/>
      <c r="MM10" s="2528"/>
      <c r="MN10" s="2563"/>
      <c r="MO10" s="2569"/>
      <c r="MP10" s="2584"/>
      <c r="MQ10" s="2358"/>
      <c r="MR10" s="2358"/>
      <c r="MS10" s="2358"/>
      <c r="MT10" s="2358"/>
      <c r="MU10" s="2563"/>
      <c r="MV10" s="2563"/>
      <c r="MW10" s="2563"/>
      <c r="MX10" s="2358"/>
      <c r="MY10" s="2353"/>
      <c r="MZ10" s="2584"/>
      <c r="NA10" s="2358"/>
      <c r="NB10" s="2358"/>
      <c r="NC10" s="2358"/>
      <c r="ND10" s="2358"/>
      <c r="NE10" s="2563"/>
      <c r="NF10" s="2563"/>
      <c r="NG10" s="2563"/>
      <c r="NH10" s="2358"/>
      <c r="NI10" s="2353"/>
      <c r="NJ10" s="2573"/>
      <c r="NK10" s="2573"/>
      <c r="NL10" s="2574"/>
      <c r="NM10" s="2559"/>
      <c r="NN10" s="2559"/>
      <c r="NO10" s="2559"/>
      <c r="NP10" s="2559"/>
      <c r="NQ10" s="2559"/>
      <c r="NR10" s="2528"/>
      <c r="NS10" s="2559"/>
      <c r="NT10" s="2559"/>
      <c r="NU10" s="2559"/>
      <c r="NV10" s="2559"/>
      <c r="NW10" s="2559"/>
      <c r="NX10" s="2559"/>
      <c r="NY10" s="2559"/>
      <c r="NZ10" s="2559"/>
      <c r="OA10" s="2582"/>
      <c r="OB10" s="2358"/>
    </row>
    <row r="11" spans="1:392" s="763" customFormat="1" x14ac:dyDescent="0.15">
      <c r="A11" s="2361"/>
      <c r="B11" s="2363"/>
      <c r="C11" s="2363"/>
      <c r="D11" s="2361"/>
      <c r="E11" s="2364"/>
      <c r="F11" s="2397"/>
      <c r="G11" s="2366"/>
      <c r="H11" s="2369"/>
      <c r="I11" s="2363"/>
      <c r="J11" s="2382"/>
      <c r="K11" s="2383"/>
      <c r="L11" s="2486"/>
      <c r="M11" s="2400"/>
      <c r="N11" s="2403"/>
      <c r="O11" s="2403"/>
      <c r="P11" s="2363"/>
      <c r="Q11" s="2369"/>
      <c r="R11" s="2363"/>
      <c r="S11" s="2363"/>
      <c r="T11" s="2392"/>
      <c r="U11" s="2394"/>
      <c r="V11" s="2394"/>
      <c r="W11" s="2394"/>
      <c r="X11" s="2394"/>
      <c r="Y11" s="2394"/>
      <c r="Z11" s="2394"/>
      <c r="AA11" s="2394"/>
      <c r="AB11" s="2394"/>
      <c r="AC11" s="2394"/>
      <c r="AD11" s="2394"/>
      <c r="AE11" s="2385"/>
      <c r="AF11" s="2389"/>
      <c r="AG11" s="2438"/>
      <c r="AH11" s="2385"/>
      <c r="AI11" s="2385"/>
      <c r="AJ11" s="2385"/>
      <c r="AK11" s="2385"/>
      <c r="AL11" s="2385"/>
      <c r="AM11" s="2385"/>
      <c r="AN11" s="2438"/>
      <c r="AO11" s="2385"/>
      <c r="AP11" s="2385"/>
      <c r="AQ11" s="2385"/>
      <c r="AR11" s="2385"/>
      <c r="AS11" s="2385"/>
      <c r="AT11" s="2385"/>
      <c r="AU11" s="2438"/>
      <c r="AV11" s="2385"/>
      <c r="AW11" s="2385"/>
      <c r="AX11" s="2385"/>
      <c r="AY11" s="2385"/>
      <c r="AZ11" s="2385"/>
      <c r="BA11" s="2385"/>
      <c r="BB11" s="2385"/>
      <c r="BC11" s="2438"/>
      <c r="BD11" s="2385"/>
      <c r="BE11" s="2385"/>
      <c r="BF11" s="2385"/>
      <c r="BG11" s="2385"/>
      <c r="BH11" s="2530"/>
      <c r="BI11" s="2389"/>
      <c r="BJ11" s="2438"/>
      <c r="BK11" s="2369"/>
      <c r="BL11" s="2369"/>
      <c r="BM11" s="2369"/>
      <c r="BN11" s="2369"/>
      <c r="BO11" s="2430"/>
      <c r="BP11" s="2363"/>
      <c r="BQ11" s="2391"/>
      <c r="BR11" s="2369"/>
      <c r="BS11" s="2369"/>
      <c r="BT11" s="2369"/>
      <c r="BU11" s="2369"/>
      <c r="BV11" s="2430"/>
      <c r="BW11" s="2369"/>
      <c r="BX11" s="2391"/>
      <c r="BY11" s="2369"/>
      <c r="BZ11" s="2369"/>
      <c r="CA11" s="2369"/>
      <c r="CB11" s="2369"/>
      <c r="CC11" s="2369"/>
      <c r="CD11" s="2430"/>
      <c r="CE11" s="2369"/>
      <c r="CF11" s="2391"/>
      <c r="CG11" s="2369"/>
      <c r="CH11" s="2369"/>
      <c r="CI11" s="2369"/>
      <c r="CJ11" s="2430"/>
      <c r="CK11" s="2430"/>
      <c r="CL11" s="2536"/>
      <c r="CM11" s="2389"/>
      <c r="CN11" s="2438"/>
      <c r="CO11" s="2369"/>
      <c r="CP11" s="2369"/>
      <c r="CQ11" s="2369"/>
      <c r="CR11" s="2369"/>
      <c r="CS11" s="2430"/>
      <c r="CT11" s="2363"/>
      <c r="CU11" s="2391"/>
      <c r="CV11" s="2369"/>
      <c r="CW11" s="2369"/>
      <c r="CX11" s="2369"/>
      <c r="CY11" s="2369"/>
      <c r="CZ11" s="2430"/>
      <c r="DA11" s="2369"/>
      <c r="DB11" s="2391"/>
      <c r="DC11" s="2369"/>
      <c r="DD11" s="2369"/>
      <c r="DE11" s="2369"/>
      <c r="DF11" s="2369"/>
      <c r="DG11" s="2369"/>
      <c r="DH11" s="2430"/>
      <c r="DI11" s="2369"/>
      <c r="DJ11" s="2391"/>
      <c r="DK11" s="2369"/>
      <c r="DL11" s="2369"/>
      <c r="DM11" s="2369"/>
      <c r="DN11" s="2430"/>
      <c r="DO11" s="2430"/>
      <c r="DP11" s="2400"/>
      <c r="DQ11" s="2423"/>
      <c r="DR11" s="2441"/>
      <c r="DS11" s="2391"/>
      <c r="DT11" s="2441"/>
      <c r="DU11" s="2441"/>
      <c r="DV11" s="2577"/>
      <c r="DW11" s="2441"/>
      <c r="DX11" s="2392"/>
      <c r="DY11" s="2392"/>
      <c r="DZ11" s="2392"/>
      <c r="EA11" s="2392"/>
      <c r="EB11" s="2392"/>
      <c r="EC11" s="2438"/>
      <c r="ED11" s="2361"/>
      <c r="EE11" s="2369"/>
      <c r="EF11" s="2369"/>
      <c r="EG11" s="2369"/>
      <c r="EH11" s="2430"/>
      <c r="EI11" s="2437"/>
      <c r="EJ11" s="2369"/>
      <c r="EK11" s="2391"/>
      <c r="EL11" s="2391"/>
      <c r="EM11" s="2369"/>
      <c r="EN11" s="2430"/>
      <c r="EO11" s="2369"/>
      <c r="EP11" s="2423"/>
      <c r="EQ11" s="2391"/>
      <c r="ER11" s="2391"/>
      <c r="ES11" s="2369"/>
      <c r="ET11" s="2430"/>
      <c r="EU11" s="2369"/>
      <c r="EV11" s="2423"/>
      <c r="EW11" s="2426"/>
      <c r="EX11" s="2426"/>
      <c r="EY11" s="2509"/>
      <c r="EZ11" s="2426"/>
      <c r="FA11" s="2426"/>
      <c r="FB11" s="2509"/>
      <c r="FC11" s="2426"/>
      <c r="FD11" s="2426"/>
      <c r="FE11" s="2509"/>
      <c r="FF11" s="2391"/>
      <c r="FG11" s="2391"/>
      <c r="FH11" s="2369"/>
      <c r="FI11" s="2430"/>
      <c r="FJ11" s="2369"/>
      <c r="FK11" s="2423"/>
      <c r="FL11" s="2392"/>
      <c r="FM11" s="2392"/>
      <c r="FN11" s="2392"/>
      <c r="FO11" s="2392"/>
      <c r="FP11" s="2392"/>
      <c r="FQ11" s="2392"/>
      <c r="FR11" s="2392"/>
      <c r="FS11" s="2392"/>
      <c r="FT11" s="2392"/>
      <c r="FU11" s="2392"/>
      <c r="FV11" s="2392"/>
      <c r="FW11" s="2392"/>
      <c r="FX11" s="2392"/>
      <c r="FY11" s="2392"/>
      <c r="FZ11" s="2392"/>
      <c r="GA11" s="2392"/>
      <c r="GB11" s="2392"/>
      <c r="GC11" s="2392"/>
      <c r="GD11" s="2392"/>
      <c r="GE11" s="2392"/>
      <c r="GF11" s="2392"/>
      <c r="GG11" s="2392"/>
      <c r="GH11" s="2391"/>
      <c r="GI11" s="2369"/>
      <c r="GJ11" s="2369"/>
      <c r="GK11" s="2423"/>
      <c r="GL11" s="2430"/>
      <c r="GM11" s="2430"/>
      <c r="GN11" s="2469"/>
      <c r="GO11" s="2441"/>
      <c r="GP11" s="2441"/>
      <c r="GQ11" s="2469"/>
      <c r="GR11" s="2423"/>
      <c r="GS11" s="2423"/>
      <c r="GT11" s="2423"/>
      <c r="GU11" s="2426"/>
      <c r="GV11" s="2426"/>
      <c r="GW11" s="2509"/>
      <c r="GX11" s="2391"/>
      <c r="GY11" s="2369"/>
      <c r="GZ11" s="2369"/>
      <c r="HA11" s="2423"/>
      <c r="HB11" s="2426"/>
      <c r="HC11" s="2426"/>
      <c r="HD11" s="2509"/>
      <c r="HE11" s="2391"/>
      <c r="HF11" s="2369"/>
      <c r="HG11" s="2430"/>
      <c r="HH11" s="2547"/>
      <c r="HI11" s="2426"/>
      <c r="HJ11" s="2426"/>
      <c r="HK11" s="2553"/>
      <c r="HL11" s="2557"/>
      <c r="HM11" s="2557"/>
      <c r="HN11" s="2463"/>
      <c r="HO11" s="2469"/>
      <c r="HP11" s="2472"/>
      <c r="HQ11" s="2479"/>
      <c r="HR11" s="2466"/>
      <c r="HS11" s="2361"/>
      <c r="HT11" s="2479"/>
      <c r="HU11" s="2361"/>
      <c r="HV11" s="2391"/>
      <c r="HW11" s="2479"/>
      <c r="HX11" s="2479"/>
      <c r="HY11" s="2383"/>
      <c r="HZ11" s="2383"/>
      <c r="IA11" s="2479"/>
      <c r="IB11" s="2479"/>
      <c r="IC11" s="2479"/>
      <c r="ID11" s="2479"/>
      <c r="IE11" s="2479"/>
      <c r="IF11" s="2479"/>
      <c r="IG11" s="2391"/>
      <c r="IH11" s="2391"/>
      <c r="II11" s="2361"/>
      <c r="IJ11" s="2392"/>
      <c r="IK11" s="2441"/>
      <c r="IL11" s="2549"/>
      <c r="IM11" s="2477"/>
      <c r="IN11" s="2552"/>
      <c r="IO11" s="2483"/>
      <c r="IP11" s="2483"/>
      <c r="IQ11" s="2483"/>
      <c r="IR11" s="2483"/>
      <c r="IS11" s="2483"/>
      <c r="IT11" s="2483"/>
      <c r="IU11" s="2483"/>
      <c r="IV11" s="2541"/>
      <c r="IW11" s="2385"/>
      <c r="IX11" s="2543"/>
      <c r="IY11" s="2545"/>
      <c r="IZ11" s="2545"/>
      <c r="JA11" s="2385"/>
      <c r="JB11" s="2377"/>
      <c r="JC11" s="2377"/>
      <c r="JD11" s="2377"/>
      <c r="JE11" s="2377"/>
      <c r="JF11" s="2377"/>
      <c r="JG11" s="2379"/>
      <c r="JH11" s="2379"/>
      <c r="JI11" s="2379"/>
      <c r="JJ11" s="2474"/>
      <c r="JK11" s="2497"/>
      <c r="JL11" s="2438"/>
      <c r="JM11" s="2477"/>
      <c r="JN11" s="2477"/>
      <c r="JO11" s="2477"/>
      <c r="JP11" s="2477"/>
      <c r="JQ11" s="2477"/>
      <c r="JR11" s="2438"/>
      <c r="JS11" s="2477"/>
      <c r="JT11" s="2477"/>
      <c r="JU11" s="2477"/>
      <c r="JV11" s="2477"/>
      <c r="JW11" s="2477"/>
      <c r="JX11" s="2477"/>
      <c r="JY11" s="2477"/>
      <c r="JZ11" s="2477"/>
      <c r="KA11" s="2477"/>
      <c r="KB11" s="2477"/>
      <c r="KC11" s="2477"/>
      <c r="KD11" s="2526"/>
      <c r="KE11" s="2528"/>
      <c r="KF11" s="2528"/>
      <c r="KG11" s="2528"/>
      <c r="KH11" s="2514"/>
      <c r="KI11" s="2522"/>
      <c r="KJ11" s="2522"/>
      <c r="KK11" s="2522"/>
      <c r="KL11" s="2522"/>
      <c r="KM11" s="2522"/>
      <c r="KN11" s="2522"/>
      <c r="KO11" s="2522"/>
      <c r="KP11" s="2522"/>
      <c r="KQ11" s="2559"/>
      <c r="KR11" s="2528"/>
      <c r="KS11" s="2522"/>
      <c r="KT11" s="2522"/>
      <c r="KU11" s="2522"/>
      <c r="KV11" s="2559"/>
      <c r="KW11" s="2522"/>
      <c r="KX11" s="2559"/>
      <c r="KY11" s="2559"/>
      <c r="KZ11" s="2559"/>
      <c r="LA11" s="2559"/>
      <c r="LB11" s="2559"/>
      <c r="LC11" s="2528"/>
      <c r="LD11" s="2522"/>
      <c r="LE11" s="2559"/>
      <c r="LF11" s="2559"/>
      <c r="LG11" s="2559"/>
      <c r="LH11" s="2528"/>
      <c r="LI11" s="2563"/>
      <c r="LJ11" s="2559"/>
      <c r="LK11" s="2559"/>
      <c r="LL11" s="2559"/>
      <c r="LM11" s="2559"/>
      <c r="LN11" s="2559"/>
      <c r="LO11" s="2566"/>
      <c r="LP11" s="2528"/>
      <c r="LQ11" s="2519"/>
      <c r="LR11" s="2522"/>
      <c r="LS11" s="2522"/>
      <c r="LT11" s="2522"/>
      <c r="LU11" s="2522"/>
      <c r="LV11" s="2522"/>
      <c r="LW11" s="2522"/>
      <c r="LX11" s="2522"/>
      <c r="LY11" s="2522"/>
      <c r="LZ11" s="2559"/>
      <c r="MA11" s="2528"/>
      <c r="MB11" s="2522"/>
      <c r="MC11" s="2522"/>
      <c r="MD11" s="2522"/>
      <c r="ME11" s="2559"/>
      <c r="MF11" s="2522"/>
      <c r="MG11" s="2559"/>
      <c r="MH11" s="2559"/>
      <c r="MI11" s="2559"/>
      <c r="MJ11" s="2559"/>
      <c r="MK11" s="2559"/>
      <c r="ML11" s="2559"/>
      <c r="MM11" s="2528"/>
      <c r="MN11" s="2563"/>
      <c r="MO11" s="2569"/>
      <c r="MP11" s="2584"/>
      <c r="MQ11" s="2358"/>
      <c r="MR11" s="2358"/>
      <c r="MS11" s="2358"/>
      <c r="MT11" s="2358"/>
      <c r="MU11" s="2563"/>
      <c r="MV11" s="2563"/>
      <c r="MW11" s="2563"/>
      <c r="MX11" s="2358"/>
      <c r="MY11" s="2353"/>
      <c r="MZ11" s="2584"/>
      <c r="NA11" s="2358"/>
      <c r="NB11" s="2358"/>
      <c r="NC11" s="2358"/>
      <c r="ND11" s="2358"/>
      <c r="NE11" s="2563"/>
      <c r="NF11" s="2563"/>
      <c r="NG11" s="2563"/>
      <c r="NH11" s="2358"/>
      <c r="NI11" s="2353"/>
      <c r="NJ11" s="2573"/>
      <c r="NK11" s="2573"/>
      <c r="NL11" s="2574"/>
      <c r="NM11" s="2559"/>
      <c r="NN11" s="2559"/>
      <c r="NO11" s="2559"/>
      <c r="NP11" s="2559"/>
      <c r="NQ11" s="2559"/>
      <c r="NR11" s="2528"/>
      <c r="NS11" s="2559"/>
      <c r="NT11" s="2559"/>
      <c r="NU11" s="2559"/>
      <c r="NV11" s="2559"/>
      <c r="NW11" s="2559"/>
      <c r="NX11" s="2559"/>
      <c r="NY11" s="2559"/>
      <c r="NZ11" s="2559"/>
      <c r="OA11" s="2582"/>
      <c r="OB11" s="2358"/>
    </row>
    <row r="12" spans="1:392" s="763" customFormat="1" ht="58.9" customHeight="1" x14ac:dyDescent="0.15">
      <c r="A12" s="2361"/>
      <c r="B12" s="2363"/>
      <c r="C12" s="2363"/>
      <c r="D12" s="2361"/>
      <c r="E12" s="2364"/>
      <c r="F12" s="2398"/>
      <c r="G12" s="2367"/>
      <c r="H12" s="2362"/>
      <c r="I12" s="2363"/>
      <c r="J12" s="2382"/>
      <c r="K12" s="2383"/>
      <c r="L12" s="2486"/>
      <c r="M12" s="2401"/>
      <c r="N12" s="2404"/>
      <c r="O12" s="2404"/>
      <c r="P12" s="2363"/>
      <c r="Q12" s="2362"/>
      <c r="R12" s="2363"/>
      <c r="S12" s="2363"/>
      <c r="T12" s="2360"/>
      <c r="U12" s="2395"/>
      <c r="V12" s="2395"/>
      <c r="W12" s="2395"/>
      <c r="X12" s="2395"/>
      <c r="Y12" s="2395"/>
      <c r="Z12" s="2395"/>
      <c r="AA12" s="2395"/>
      <c r="AB12" s="2395"/>
      <c r="AC12" s="2395"/>
      <c r="AD12" s="2395"/>
      <c r="AE12" s="2386"/>
      <c r="AF12" s="2390"/>
      <c r="AG12" s="2487"/>
      <c r="AH12" s="2385"/>
      <c r="AI12" s="2385"/>
      <c r="AJ12" s="2385"/>
      <c r="AK12" s="2385"/>
      <c r="AL12" s="2385"/>
      <c r="AM12" s="2385"/>
      <c r="AN12" s="2487"/>
      <c r="AO12" s="2385"/>
      <c r="AP12" s="2385"/>
      <c r="AQ12" s="2385"/>
      <c r="AR12" s="2385"/>
      <c r="AS12" s="2385"/>
      <c r="AT12" s="2385"/>
      <c r="AU12" s="2487"/>
      <c r="AV12" s="2385"/>
      <c r="AW12" s="2385"/>
      <c r="AX12" s="2385"/>
      <c r="AY12" s="2385"/>
      <c r="AZ12" s="2385"/>
      <c r="BA12" s="2385"/>
      <c r="BB12" s="2385"/>
      <c r="BC12" s="2487"/>
      <c r="BD12" s="2385"/>
      <c r="BE12" s="2385"/>
      <c r="BF12" s="2385"/>
      <c r="BG12" s="2385"/>
      <c r="BH12" s="2530"/>
      <c r="BI12" s="2389"/>
      <c r="BJ12" s="2487"/>
      <c r="BK12" s="2362"/>
      <c r="BL12" s="2362"/>
      <c r="BM12" s="2362"/>
      <c r="BN12" s="2362"/>
      <c r="BO12" s="2431"/>
      <c r="BP12" s="2363"/>
      <c r="BQ12" s="2384"/>
      <c r="BR12" s="2362"/>
      <c r="BS12" s="2362"/>
      <c r="BT12" s="2362"/>
      <c r="BU12" s="2362"/>
      <c r="BV12" s="2431"/>
      <c r="BW12" s="2362"/>
      <c r="BX12" s="2384"/>
      <c r="BY12" s="2362"/>
      <c r="BZ12" s="2362"/>
      <c r="CA12" s="2362"/>
      <c r="CB12" s="2362"/>
      <c r="CC12" s="2362"/>
      <c r="CD12" s="2431"/>
      <c r="CE12" s="2362"/>
      <c r="CF12" s="2384"/>
      <c r="CG12" s="2362"/>
      <c r="CH12" s="2362"/>
      <c r="CI12" s="2362"/>
      <c r="CJ12" s="2431"/>
      <c r="CK12" s="2431"/>
      <c r="CL12" s="2537"/>
      <c r="CM12" s="2389"/>
      <c r="CN12" s="2487"/>
      <c r="CO12" s="2362"/>
      <c r="CP12" s="2362"/>
      <c r="CQ12" s="2362"/>
      <c r="CR12" s="2362"/>
      <c r="CS12" s="2431"/>
      <c r="CT12" s="2363"/>
      <c r="CU12" s="2384"/>
      <c r="CV12" s="2362"/>
      <c r="CW12" s="2362"/>
      <c r="CX12" s="2362"/>
      <c r="CY12" s="2362"/>
      <c r="CZ12" s="2431"/>
      <c r="DA12" s="2362"/>
      <c r="DB12" s="2384"/>
      <c r="DC12" s="2362"/>
      <c r="DD12" s="2362"/>
      <c r="DE12" s="2362"/>
      <c r="DF12" s="2362"/>
      <c r="DG12" s="2362"/>
      <c r="DH12" s="2431"/>
      <c r="DI12" s="2362"/>
      <c r="DJ12" s="2384"/>
      <c r="DK12" s="2362"/>
      <c r="DL12" s="2362"/>
      <c r="DM12" s="2362"/>
      <c r="DN12" s="2431"/>
      <c r="DO12" s="2431"/>
      <c r="DP12" s="2401"/>
      <c r="DQ12" s="2424"/>
      <c r="DR12" s="2442"/>
      <c r="DS12" s="2384"/>
      <c r="DT12" s="2442"/>
      <c r="DU12" s="2442"/>
      <c r="DV12" s="2578"/>
      <c r="DW12" s="2442"/>
      <c r="DX12" s="2360"/>
      <c r="DY12" s="2360"/>
      <c r="DZ12" s="2360"/>
      <c r="EA12" s="2360"/>
      <c r="EB12" s="2360"/>
      <c r="EC12" s="2438"/>
      <c r="ED12" s="2429"/>
      <c r="EE12" s="2362"/>
      <c r="EF12" s="2362"/>
      <c r="EG12" s="2362"/>
      <c r="EH12" s="2430"/>
      <c r="EI12" s="2484"/>
      <c r="EJ12" s="2362"/>
      <c r="EK12" s="2384"/>
      <c r="EL12" s="2384"/>
      <c r="EM12" s="2362"/>
      <c r="EN12" s="2431"/>
      <c r="EO12" s="2362"/>
      <c r="EP12" s="2424"/>
      <c r="EQ12" s="2384"/>
      <c r="ER12" s="2384"/>
      <c r="ES12" s="2362"/>
      <c r="ET12" s="2431"/>
      <c r="EU12" s="2362"/>
      <c r="EV12" s="2424"/>
      <c r="EW12" s="2427"/>
      <c r="EX12" s="2427"/>
      <c r="EY12" s="2510"/>
      <c r="EZ12" s="2427"/>
      <c r="FA12" s="2427"/>
      <c r="FB12" s="2510"/>
      <c r="FC12" s="2427"/>
      <c r="FD12" s="2427"/>
      <c r="FE12" s="2510"/>
      <c r="FF12" s="2384"/>
      <c r="FG12" s="2384"/>
      <c r="FH12" s="2362"/>
      <c r="FI12" s="2431"/>
      <c r="FJ12" s="2362"/>
      <c r="FK12" s="2424"/>
      <c r="FL12" s="2360"/>
      <c r="FM12" s="2360"/>
      <c r="FN12" s="2360"/>
      <c r="FO12" s="2360"/>
      <c r="FP12" s="2360"/>
      <c r="FQ12" s="2360"/>
      <c r="FR12" s="2360"/>
      <c r="FS12" s="2360"/>
      <c r="FT12" s="2360"/>
      <c r="FU12" s="2360"/>
      <c r="FV12" s="2360"/>
      <c r="FW12" s="2360"/>
      <c r="FX12" s="2360"/>
      <c r="FY12" s="2360"/>
      <c r="FZ12" s="2360"/>
      <c r="GA12" s="2360"/>
      <c r="GB12" s="2360"/>
      <c r="GC12" s="2360"/>
      <c r="GD12" s="2360"/>
      <c r="GE12" s="2360"/>
      <c r="GF12" s="2360"/>
      <c r="GG12" s="2360"/>
      <c r="GH12" s="2384"/>
      <c r="GI12" s="2362"/>
      <c r="GJ12" s="2362"/>
      <c r="GK12" s="2424"/>
      <c r="GL12" s="2431"/>
      <c r="GM12" s="2431"/>
      <c r="GN12" s="2470"/>
      <c r="GO12" s="2442"/>
      <c r="GP12" s="2442"/>
      <c r="GQ12" s="2470"/>
      <c r="GR12" s="2424"/>
      <c r="GS12" s="2424"/>
      <c r="GT12" s="2424"/>
      <c r="GU12" s="2427"/>
      <c r="GV12" s="2427"/>
      <c r="GW12" s="2510"/>
      <c r="GX12" s="2384"/>
      <c r="GY12" s="2362"/>
      <c r="GZ12" s="2362"/>
      <c r="HA12" s="2424"/>
      <c r="HB12" s="2427"/>
      <c r="HC12" s="2427"/>
      <c r="HD12" s="2510"/>
      <c r="HE12" s="2384"/>
      <c r="HF12" s="2362"/>
      <c r="HG12" s="2431"/>
      <c r="HH12" s="2381"/>
      <c r="HI12" s="2427"/>
      <c r="HJ12" s="2427"/>
      <c r="HK12" s="2554"/>
      <c r="HL12" s="2557"/>
      <c r="HM12" s="2557"/>
      <c r="HN12" s="2464"/>
      <c r="HO12" s="2470"/>
      <c r="HP12" s="2472"/>
      <c r="HQ12" s="2479"/>
      <c r="HR12" s="2467"/>
      <c r="HS12" s="2361"/>
      <c r="HT12" s="2479"/>
      <c r="HU12" s="2361"/>
      <c r="HV12" s="2384"/>
      <c r="HW12" s="2479"/>
      <c r="HX12" s="2479"/>
      <c r="HY12" s="2383"/>
      <c r="HZ12" s="2383"/>
      <c r="IA12" s="2479"/>
      <c r="IB12" s="2479"/>
      <c r="IC12" s="2479"/>
      <c r="ID12" s="2479"/>
      <c r="IE12" s="2479"/>
      <c r="IF12" s="2479"/>
      <c r="IG12" s="2384"/>
      <c r="IH12" s="2384"/>
      <c r="II12" s="2361"/>
      <c r="IJ12" s="2360"/>
      <c r="IK12" s="2442"/>
      <c r="IL12" s="2550"/>
      <c r="IM12" s="2478"/>
      <c r="IN12" s="2552"/>
      <c r="IO12" s="2483"/>
      <c r="IP12" s="2483"/>
      <c r="IQ12" s="2483"/>
      <c r="IR12" s="2483"/>
      <c r="IS12" s="2483"/>
      <c r="IT12" s="2483"/>
      <c r="IU12" s="2483"/>
      <c r="IV12" s="2541"/>
      <c r="IW12" s="2385"/>
      <c r="IX12" s="2543"/>
      <c r="IY12" s="2546"/>
      <c r="IZ12" s="2545"/>
      <c r="JA12" s="2385"/>
      <c r="JB12" s="2377"/>
      <c r="JC12" s="2377"/>
      <c r="JD12" s="2377"/>
      <c r="JE12" s="2377"/>
      <c r="JF12" s="2377"/>
      <c r="JG12" s="2380"/>
      <c r="JH12" s="2380"/>
      <c r="JI12" s="2380"/>
      <c r="JJ12" s="2475"/>
      <c r="JK12" s="2498"/>
      <c r="JL12" s="2438"/>
      <c r="JM12" s="2478"/>
      <c r="JN12" s="2478"/>
      <c r="JO12" s="2478"/>
      <c r="JP12" s="2478"/>
      <c r="JQ12" s="2478"/>
      <c r="JR12" s="2438"/>
      <c r="JS12" s="2478"/>
      <c r="JT12" s="2478"/>
      <c r="JU12" s="2478"/>
      <c r="JV12" s="2478"/>
      <c r="JW12" s="2478"/>
      <c r="JX12" s="2478"/>
      <c r="JY12" s="2478"/>
      <c r="JZ12" s="2478"/>
      <c r="KA12" s="2478"/>
      <c r="KB12" s="2478"/>
      <c r="KC12" s="2478"/>
      <c r="KD12" s="2526"/>
      <c r="KE12" s="2529"/>
      <c r="KF12" s="2529"/>
      <c r="KG12" s="2529"/>
      <c r="KH12" s="2515"/>
      <c r="KI12" s="2523"/>
      <c r="KJ12" s="2523"/>
      <c r="KK12" s="2523"/>
      <c r="KL12" s="2523"/>
      <c r="KM12" s="2523"/>
      <c r="KN12" s="2523"/>
      <c r="KO12" s="2523"/>
      <c r="KP12" s="2523"/>
      <c r="KQ12" s="2560"/>
      <c r="KR12" s="2529"/>
      <c r="KS12" s="2523"/>
      <c r="KT12" s="2523"/>
      <c r="KU12" s="2523"/>
      <c r="KV12" s="2560"/>
      <c r="KW12" s="2523"/>
      <c r="KX12" s="2560"/>
      <c r="KY12" s="2560"/>
      <c r="KZ12" s="2560"/>
      <c r="LA12" s="2560"/>
      <c r="LB12" s="2560"/>
      <c r="LC12" s="2529"/>
      <c r="LD12" s="2523"/>
      <c r="LE12" s="2560"/>
      <c r="LF12" s="2560"/>
      <c r="LG12" s="2560"/>
      <c r="LH12" s="2529"/>
      <c r="LI12" s="2564"/>
      <c r="LJ12" s="2560"/>
      <c r="LK12" s="2560"/>
      <c r="LL12" s="2560"/>
      <c r="LM12" s="2560"/>
      <c r="LN12" s="2560"/>
      <c r="LO12" s="2567"/>
      <c r="LP12" s="2529"/>
      <c r="LQ12" s="2520"/>
      <c r="LR12" s="2523"/>
      <c r="LS12" s="2523"/>
      <c r="LT12" s="2523"/>
      <c r="LU12" s="2523"/>
      <c r="LV12" s="2523"/>
      <c r="LW12" s="2523"/>
      <c r="LX12" s="2523"/>
      <c r="LY12" s="2523"/>
      <c r="LZ12" s="2560"/>
      <c r="MA12" s="2529"/>
      <c r="MB12" s="2523"/>
      <c r="MC12" s="2523"/>
      <c r="MD12" s="2523"/>
      <c r="ME12" s="2560"/>
      <c r="MF12" s="2523"/>
      <c r="MG12" s="2560"/>
      <c r="MH12" s="2560"/>
      <c r="MI12" s="2560"/>
      <c r="MJ12" s="2560"/>
      <c r="MK12" s="2560"/>
      <c r="ML12" s="2560"/>
      <c r="MM12" s="2529"/>
      <c r="MN12" s="2564"/>
      <c r="MO12" s="2570"/>
      <c r="MP12" s="2585"/>
      <c r="MQ12" s="2359"/>
      <c r="MR12" s="2359"/>
      <c r="MS12" s="2359"/>
      <c r="MT12" s="2359"/>
      <c r="MU12" s="2564"/>
      <c r="MV12" s="2564"/>
      <c r="MW12" s="2564"/>
      <c r="MX12" s="2359"/>
      <c r="MY12" s="2354"/>
      <c r="MZ12" s="2585"/>
      <c r="NA12" s="2359"/>
      <c r="NB12" s="2359"/>
      <c r="NC12" s="2359"/>
      <c r="ND12" s="2359"/>
      <c r="NE12" s="2564"/>
      <c r="NF12" s="2564"/>
      <c r="NG12" s="2564"/>
      <c r="NH12" s="2359"/>
      <c r="NI12" s="2354"/>
      <c r="NJ12" s="2573"/>
      <c r="NK12" s="2573"/>
      <c r="NL12" s="2574"/>
      <c r="NM12" s="2560"/>
      <c r="NN12" s="2560"/>
      <c r="NO12" s="2560"/>
      <c r="NP12" s="2560"/>
      <c r="NQ12" s="2560"/>
      <c r="NR12" s="2529"/>
      <c r="NS12" s="2560"/>
      <c r="NT12" s="2560"/>
      <c r="NU12" s="2560"/>
      <c r="NV12" s="2560"/>
      <c r="NW12" s="2560"/>
      <c r="NX12" s="2560"/>
      <c r="NY12" s="2560"/>
      <c r="NZ12" s="2560"/>
      <c r="OA12" s="2583"/>
      <c r="OB12" s="2359"/>
    </row>
    <row r="13" spans="1:392" s="763" customFormat="1" x14ac:dyDescent="0.15">
      <c r="A13" s="824">
        <v>1</v>
      </c>
      <c r="B13" s="158">
        <f>A13+1</f>
        <v>2</v>
      </c>
      <c r="C13" s="158">
        <f t="shared" ref="C13:T13" si="18">B13+1</f>
        <v>3</v>
      </c>
      <c r="D13" s="824">
        <f t="shared" si="18"/>
        <v>4</v>
      </c>
      <c r="E13" s="158">
        <f t="shared" si="18"/>
        <v>5</v>
      </c>
      <c r="F13" s="835">
        <f t="shared" si="18"/>
        <v>6</v>
      </c>
      <c r="G13" s="835"/>
      <c r="H13" s="158">
        <f>F13+1</f>
        <v>7</v>
      </c>
      <c r="I13" s="158">
        <f>H13+1</f>
        <v>8</v>
      </c>
      <c r="J13" s="835">
        <f>I13+1</f>
        <v>9</v>
      </c>
      <c r="K13" s="826">
        <f>J13+1</f>
        <v>10</v>
      </c>
      <c r="L13" s="158">
        <f>K13+1</f>
        <v>11</v>
      </c>
      <c r="M13" s="158">
        <f>L13+1</f>
        <v>12</v>
      </c>
      <c r="N13" s="158">
        <f t="shared" ref="N13:S13" si="19">M13+1</f>
        <v>13</v>
      </c>
      <c r="O13" s="158">
        <f t="shared" si="19"/>
        <v>14</v>
      </c>
      <c r="P13" s="158">
        <f t="shared" si="19"/>
        <v>15</v>
      </c>
      <c r="Q13" s="158">
        <f t="shared" si="19"/>
        <v>16</v>
      </c>
      <c r="R13" s="158">
        <f t="shared" si="19"/>
        <v>17</v>
      </c>
      <c r="S13" s="158">
        <f t="shared" si="19"/>
        <v>18</v>
      </c>
      <c r="T13" s="826">
        <f t="shared" si="18"/>
        <v>19</v>
      </c>
      <c r="U13" s="158">
        <f>T13+1</f>
        <v>20</v>
      </c>
      <c r="V13" s="158">
        <f t="shared" ref="V13:AD13" si="20">U13+1</f>
        <v>21</v>
      </c>
      <c r="W13" s="158">
        <f t="shared" si="20"/>
        <v>22</v>
      </c>
      <c r="X13" s="158">
        <f t="shared" si="20"/>
        <v>23</v>
      </c>
      <c r="Y13" s="158">
        <f t="shared" si="20"/>
        <v>24</v>
      </c>
      <c r="Z13" s="158">
        <f t="shared" si="20"/>
        <v>25</v>
      </c>
      <c r="AA13" s="158">
        <f t="shared" si="20"/>
        <v>26</v>
      </c>
      <c r="AB13" s="158">
        <f t="shared" si="20"/>
        <v>27</v>
      </c>
      <c r="AC13" s="158">
        <f t="shared" si="20"/>
        <v>28</v>
      </c>
      <c r="AD13" s="158">
        <f t="shared" si="20"/>
        <v>29</v>
      </c>
      <c r="AE13" s="825">
        <f>AD13+1</f>
        <v>30</v>
      </c>
      <c r="AF13" s="825">
        <f>AE13+1</f>
        <v>31</v>
      </c>
      <c r="AG13" s="825">
        <f t="shared" ref="AG13:BP13" si="21">AF13+1</f>
        <v>32</v>
      </c>
      <c r="AH13" s="825">
        <f t="shared" si="21"/>
        <v>33</v>
      </c>
      <c r="AI13" s="825">
        <f t="shared" si="21"/>
        <v>34</v>
      </c>
      <c r="AJ13" s="825">
        <f t="shared" si="21"/>
        <v>35</v>
      </c>
      <c r="AK13" s="825">
        <f t="shared" si="21"/>
        <v>36</v>
      </c>
      <c r="AL13" s="825">
        <f t="shared" si="21"/>
        <v>37</v>
      </c>
      <c r="AM13" s="825">
        <f t="shared" si="21"/>
        <v>38</v>
      </c>
      <c r="AN13" s="825">
        <f t="shared" si="21"/>
        <v>39</v>
      </c>
      <c r="AO13" s="825">
        <f t="shared" si="21"/>
        <v>40</v>
      </c>
      <c r="AP13" s="825">
        <f t="shared" si="21"/>
        <v>41</v>
      </c>
      <c r="AQ13" s="825">
        <f t="shared" si="21"/>
        <v>42</v>
      </c>
      <c r="AR13" s="825">
        <f t="shared" si="21"/>
        <v>43</v>
      </c>
      <c r="AS13" s="825">
        <f t="shared" si="21"/>
        <v>44</v>
      </c>
      <c r="AT13" s="825">
        <f t="shared" si="21"/>
        <v>45</v>
      </c>
      <c r="AU13" s="825">
        <f t="shared" si="21"/>
        <v>46</v>
      </c>
      <c r="AV13" s="825">
        <f t="shared" si="21"/>
        <v>47</v>
      </c>
      <c r="AW13" s="825">
        <f t="shared" si="21"/>
        <v>48</v>
      </c>
      <c r="AX13" s="825">
        <f t="shared" si="21"/>
        <v>49</v>
      </c>
      <c r="AY13" s="825">
        <f t="shared" si="21"/>
        <v>50</v>
      </c>
      <c r="AZ13" s="825">
        <f t="shared" si="21"/>
        <v>51</v>
      </c>
      <c r="BA13" s="825">
        <f t="shared" si="21"/>
        <v>52</v>
      </c>
      <c r="BB13" s="825">
        <f t="shared" si="21"/>
        <v>53</v>
      </c>
      <c r="BC13" s="825">
        <f t="shared" si="21"/>
        <v>54</v>
      </c>
      <c r="BD13" s="825">
        <f t="shared" si="21"/>
        <v>55</v>
      </c>
      <c r="BE13" s="825">
        <f t="shared" si="21"/>
        <v>56</v>
      </c>
      <c r="BF13" s="825">
        <f t="shared" si="21"/>
        <v>57</v>
      </c>
      <c r="BG13" s="825">
        <f t="shared" si="21"/>
        <v>58</v>
      </c>
      <c r="BH13" s="836">
        <f t="shared" si="21"/>
        <v>59</v>
      </c>
      <c r="BI13" s="836">
        <f t="shared" si="21"/>
        <v>60</v>
      </c>
      <c r="BJ13" s="825">
        <f t="shared" si="21"/>
        <v>61</v>
      </c>
      <c r="BK13" s="158">
        <f t="shared" si="21"/>
        <v>62</v>
      </c>
      <c r="BL13" s="158">
        <f t="shared" si="21"/>
        <v>63</v>
      </c>
      <c r="BM13" s="158">
        <f t="shared" si="21"/>
        <v>64</v>
      </c>
      <c r="BN13" s="158">
        <f t="shared" si="21"/>
        <v>65</v>
      </c>
      <c r="BO13" s="158">
        <f t="shared" si="21"/>
        <v>66</v>
      </c>
      <c r="BP13" s="158">
        <f t="shared" si="21"/>
        <v>67</v>
      </c>
      <c r="BQ13" s="825">
        <f>BP13+1</f>
        <v>68</v>
      </c>
      <c r="BR13" s="158">
        <f t="shared" ref="BR13:DQ13" si="22">BQ13+1</f>
        <v>69</v>
      </c>
      <c r="BS13" s="158">
        <f t="shared" si="22"/>
        <v>70</v>
      </c>
      <c r="BT13" s="158">
        <f t="shared" si="22"/>
        <v>71</v>
      </c>
      <c r="BU13" s="158">
        <f t="shared" si="22"/>
        <v>72</v>
      </c>
      <c r="BV13" s="158">
        <f t="shared" si="22"/>
        <v>73</v>
      </c>
      <c r="BW13" s="158">
        <f t="shared" si="22"/>
        <v>74</v>
      </c>
      <c r="BX13" s="825">
        <f t="shared" si="22"/>
        <v>75</v>
      </c>
      <c r="BY13" s="158">
        <f t="shared" si="22"/>
        <v>76</v>
      </c>
      <c r="BZ13" s="158">
        <f t="shared" si="22"/>
        <v>77</v>
      </c>
      <c r="CA13" s="158">
        <f t="shared" si="22"/>
        <v>78</v>
      </c>
      <c r="CB13" s="158">
        <f t="shared" si="22"/>
        <v>79</v>
      </c>
      <c r="CC13" s="158">
        <f t="shared" si="22"/>
        <v>80</v>
      </c>
      <c r="CD13" s="158">
        <f t="shared" si="22"/>
        <v>81</v>
      </c>
      <c r="CE13" s="158">
        <f t="shared" si="22"/>
        <v>82</v>
      </c>
      <c r="CF13" s="825">
        <f t="shared" si="22"/>
        <v>83</v>
      </c>
      <c r="CG13" s="158">
        <f t="shared" si="22"/>
        <v>84</v>
      </c>
      <c r="CH13" s="158">
        <f t="shared" si="22"/>
        <v>85</v>
      </c>
      <c r="CI13" s="158">
        <f t="shared" si="22"/>
        <v>86</v>
      </c>
      <c r="CJ13" s="158">
        <f t="shared" si="22"/>
        <v>87</v>
      </c>
      <c r="CK13" s="158">
        <f t="shared" si="22"/>
        <v>88</v>
      </c>
      <c r="CL13" s="824">
        <f t="shared" si="22"/>
        <v>89</v>
      </c>
      <c r="CM13" s="825">
        <f t="shared" si="22"/>
        <v>90</v>
      </c>
      <c r="CN13" s="825">
        <f t="shared" si="22"/>
        <v>91</v>
      </c>
      <c r="CO13" s="158">
        <f t="shared" si="22"/>
        <v>92</v>
      </c>
      <c r="CP13" s="158">
        <f t="shared" si="22"/>
        <v>93</v>
      </c>
      <c r="CQ13" s="158">
        <f t="shared" si="22"/>
        <v>94</v>
      </c>
      <c r="CR13" s="158">
        <f t="shared" si="22"/>
        <v>95</v>
      </c>
      <c r="CS13" s="158">
        <f t="shared" si="22"/>
        <v>96</v>
      </c>
      <c r="CT13" s="158">
        <f t="shared" si="22"/>
        <v>97</v>
      </c>
      <c r="CU13" s="825">
        <f t="shared" si="22"/>
        <v>98</v>
      </c>
      <c r="CV13" s="158">
        <f t="shared" si="22"/>
        <v>99</v>
      </c>
      <c r="CW13" s="158">
        <f t="shared" si="22"/>
        <v>100</v>
      </c>
      <c r="CX13" s="158">
        <f t="shared" si="22"/>
        <v>101</v>
      </c>
      <c r="CY13" s="158">
        <f t="shared" si="22"/>
        <v>102</v>
      </c>
      <c r="CZ13" s="158">
        <f t="shared" si="22"/>
        <v>103</v>
      </c>
      <c r="DA13" s="158">
        <f t="shared" si="22"/>
        <v>104</v>
      </c>
      <c r="DB13" s="825">
        <f t="shared" si="22"/>
        <v>105</v>
      </c>
      <c r="DC13" s="158">
        <f t="shared" si="22"/>
        <v>106</v>
      </c>
      <c r="DD13" s="158">
        <f t="shared" si="22"/>
        <v>107</v>
      </c>
      <c r="DE13" s="158">
        <f t="shared" si="22"/>
        <v>108</v>
      </c>
      <c r="DF13" s="158">
        <f t="shared" si="22"/>
        <v>109</v>
      </c>
      <c r="DG13" s="158">
        <f t="shared" si="22"/>
        <v>110</v>
      </c>
      <c r="DH13" s="158">
        <f t="shared" si="22"/>
        <v>111</v>
      </c>
      <c r="DI13" s="158">
        <f t="shared" si="22"/>
        <v>112</v>
      </c>
      <c r="DJ13" s="825">
        <f t="shared" si="22"/>
        <v>113</v>
      </c>
      <c r="DK13" s="158">
        <f t="shared" si="22"/>
        <v>114</v>
      </c>
      <c r="DL13" s="158">
        <f t="shared" si="22"/>
        <v>115</v>
      </c>
      <c r="DM13" s="158">
        <f t="shared" si="22"/>
        <v>116</v>
      </c>
      <c r="DN13" s="163">
        <f t="shared" si="22"/>
        <v>117</v>
      </c>
      <c r="DO13" s="163">
        <f t="shared" si="22"/>
        <v>118</v>
      </c>
      <c r="DP13" s="163">
        <f t="shared" si="22"/>
        <v>119</v>
      </c>
      <c r="DQ13" s="898">
        <f t="shared" si="22"/>
        <v>120</v>
      </c>
      <c r="DR13" s="875">
        <f>DQ13+1</f>
        <v>121</v>
      </c>
      <c r="DS13" s="875">
        <f>DR13+1</f>
        <v>122</v>
      </c>
      <c r="DT13" s="827">
        <f t="shared" ref="DT13:EB13" si="23">DS13+1</f>
        <v>123</v>
      </c>
      <c r="DU13" s="827">
        <f t="shared" si="23"/>
        <v>124</v>
      </c>
      <c r="DV13" s="827">
        <f>DU13+1</f>
        <v>125</v>
      </c>
      <c r="DW13" s="827">
        <f t="shared" si="23"/>
        <v>126</v>
      </c>
      <c r="DX13" s="827">
        <f t="shared" si="23"/>
        <v>127</v>
      </c>
      <c r="DY13" s="827">
        <f t="shared" si="23"/>
        <v>128</v>
      </c>
      <c r="DZ13" s="827">
        <f t="shared" si="23"/>
        <v>129</v>
      </c>
      <c r="EA13" s="827">
        <f t="shared" si="23"/>
        <v>130</v>
      </c>
      <c r="EB13" s="827">
        <f t="shared" si="23"/>
        <v>131</v>
      </c>
      <c r="EC13" s="825">
        <f>EB13+1</f>
        <v>132</v>
      </c>
      <c r="ED13" s="824">
        <f t="shared" ref="ED13:EJ13" si="24">EC13+1</f>
        <v>133</v>
      </c>
      <c r="EE13" s="158">
        <f t="shared" si="24"/>
        <v>134</v>
      </c>
      <c r="EF13" s="158">
        <f t="shared" si="24"/>
        <v>135</v>
      </c>
      <c r="EG13" s="158">
        <f t="shared" si="24"/>
        <v>136</v>
      </c>
      <c r="EH13" s="158">
        <f t="shared" si="24"/>
        <v>137</v>
      </c>
      <c r="EI13" s="824">
        <f t="shared" si="24"/>
        <v>138</v>
      </c>
      <c r="EJ13" s="158">
        <f t="shared" si="24"/>
        <v>139</v>
      </c>
      <c r="EK13" s="826">
        <f>EJ13+1</f>
        <v>140</v>
      </c>
      <c r="EL13" s="826">
        <f t="shared" ref="EL13:EO13" si="25">EK13+1</f>
        <v>141</v>
      </c>
      <c r="EM13" s="158">
        <f t="shared" si="25"/>
        <v>142</v>
      </c>
      <c r="EN13" s="158">
        <f t="shared" si="25"/>
        <v>143</v>
      </c>
      <c r="EO13" s="158">
        <f t="shared" si="25"/>
        <v>144</v>
      </c>
      <c r="EP13" s="835">
        <f>EO13+1</f>
        <v>145</v>
      </c>
      <c r="EQ13" s="826">
        <f>EP13+1</f>
        <v>146</v>
      </c>
      <c r="ER13" s="826">
        <f t="shared" ref="ER13:EU13" si="26">EQ13+1</f>
        <v>147</v>
      </c>
      <c r="ES13" s="158">
        <f t="shared" si="26"/>
        <v>148</v>
      </c>
      <c r="ET13" s="158">
        <f t="shared" si="26"/>
        <v>149</v>
      </c>
      <c r="EU13" s="158">
        <f t="shared" si="26"/>
        <v>150</v>
      </c>
      <c r="EV13" s="835">
        <f>EU13+1</f>
        <v>151</v>
      </c>
      <c r="EW13" s="158">
        <f>EV13+1</f>
        <v>152</v>
      </c>
      <c r="EX13" s="158">
        <f>EW13+1</f>
        <v>153</v>
      </c>
      <c r="EY13" s="835">
        <f>EX13+1</f>
        <v>154</v>
      </c>
      <c r="EZ13" s="158">
        <f t="shared" ref="EZ13:FK13" si="27">EY13+1</f>
        <v>155</v>
      </c>
      <c r="FA13" s="158">
        <f t="shared" si="27"/>
        <v>156</v>
      </c>
      <c r="FB13" s="835">
        <f t="shared" si="27"/>
        <v>157</v>
      </c>
      <c r="FC13" s="158">
        <f t="shared" si="27"/>
        <v>158</v>
      </c>
      <c r="FD13" s="158">
        <f t="shared" si="27"/>
        <v>159</v>
      </c>
      <c r="FE13" s="835">
        <f t="shared" si="27"/>
        <v>160</v>
      </c>
      <c r="FF13" s="826">
        <f t="shared" si="27"/>
        <v>161</v>
      </c>
      <c r="FG13" s="826">
        <f t="shared" si="27"/>
        <v>162</v>
      </c>
      <c r="FH13" s="158">
        <f t="shared" si="27"/>
        <v>163</v>
      </c>
      <c r="FI13" s="158">
        <f t="shared" si="27"/>
        <v>164</v>
      </c>
      <c r="FJ13" s="158">
        <f t="shared" si="27"/>
        <v>165</v>
      </c>
      <c r="FK13" s="835">
        <f t="shared" si="27"/>
        <v>166</v>
      </c>
      <c r="FL13" s="824">
        <f>FK13+1</f>
        <v>167</v>
      </c>
      <c r="FM13" s="824">
        <f t="shared" ref="FM13:GK13" si="28">FL13+1</f>
        <v>168</v>
      </c>
      <c r="FN13" s="824">
        <f t="shared" si="28"/>
        <v>169</v>
      </c>
      <c r="FO13" s="824">
        <f t="shared" si="28"/>
        <v>170</v>
      </c>
      <c r="FP13" s="824">
        <f t="shared" si="28"/>
        <v>171</v>
      </c>
      <c r="FQ13" s="824">
        <f t="shared" si="28"/>
        <v>172</v>
      </c>
      <c r="FR13" s="824">
        <f t="shared" si="28"/>
        <v>173</v>
      </c>
      <c r="FS13" s="824">
        <f t="shared" si="28"/>
        <v>174</v>
      </c>
      <c r="FT13" s="824">
        <f t="shared" si="28"/>
        <v>175</v>
      </c>
      <c r="FU13" s="824">
        <f t="shared" si="28"/>
        <v>176</v>
      </c>
      <c r="FV13" s="824">
        <f t="shared" si="28"/>
        <v>177</v>
      </c>
      <c r="FW13" s="824">
        <f t="shared" si="28"/>
        <v>178</v>
      </c>
      <c r="FX13" s="824">
        <f t="shared" si="28"/>
        <v>179</v>
      </c>
      <c r="FY13" s="824">
        <f t="shared" si="28"/>
        <v>180</v>
      </c>
      <c r="FZ13" s="824">
        <f t="shared" si="28"/>
        <v>181</v>
      </c>
      <c r="GA13" s="824">
        <f t="shared" si="28"/>
        <v>182</v>
      </c>
      <c r="GB13" s="824">
        <f t="shared" si="28"/>
        <v>183</v>
      </c>
      <c r="GC13" s="824">
        <f t="shared" si="28"/>
        <v>184</v>
      </c>
      <c r="GD13" s="824">
        <f t="shared" si="28"/>
        <v>185</v>
      </c>
      <c r="GE13" s="824">
        <f t="shared" si="28"/>
        <v>186</v>
      </c>
      <c r="GF13" s="824">
        <f t="shared" si="28"/>
        <v>187</v>
      </c>
      <c r="GG13" s="824">
        <f t="shared" si="28"/>
        <v>188</v>
      </c>
      <c r="GH13" s="826">
        <f t="shared" si="28"/>
        <v>189</v>
      </c>
      <c r="GI13" s="158">
        <f t="shared" si="28"/>
        <v>190</v>
      </c>
      <c r="GJ13" s="158">
        <f t="shared" si="28"/>
        <v>191</v>
      </c>
      <c r="GK13" s="835">
        <f t="shared" si="28"/>
        <v>192</v>
      </c>
      <c r="GL13" s="158">
        <f>GK13+1</f>
        <v>193</v>
      </c>
      <c r="GM13" s="158">
        <f>GL13+1</f>
        <v>194</v>
      </c>
      <c r="GN13" s="826">
        <f>GM13+1</f>
        <v>195</v>
      </c>
      <c r="GO13" s="835">
        <f>GN13+1</f>
        <v>196</v>
      </c>
      <c r="GP13" s="835">
        <f>GO13+1</f>
        <v>197</v>
      </c>
      <c r="GQ13" s="826">
        <f t="shared" ref="GQ13:HJ13" si="29">GP13+1</f>
        <v>198</v>
      </c>
      <c r="GR13" s="835">
        <f t="shared" si="29"/>
        <v>199</v>
      </c>
      <c r="GS13" s="835">
        <f t="shared" si="29"/>
        <v>200</v>
      </c>
      <c r="GT13" s="835">
        <f t="shared" si="29"/>
        <v>201</v>
      </c>
      <c r="GU13" s="158">
        <f t="shared" si="29"/>
        <v>202</v>
      </c>
      <c r="GV13" s="158">
        <f t="shared" si="29"/>
        <v>203</v>
      </c>
      <c r="GW13" s="835">
        <f t="shared" si="29"/>
        <v>204</v>
      </c>
      <c r="GX13" s="826">
        <f t="shared" si="29"/>
        <v>205</v>
      </c>
      <c r="GY13" s="158">
        <f t="shared" si="29"/>
        <v>206</v>
      </c>
      <c r="GZ13" s="158">
        <f t="shared" si="29"/>
        <v>207</v>
      </c>
      <c r="HA13" s="835">
        <f t="shared" si="29"/>
        <v>208</v>
      </c>
      <c r="HB13" s="158">
        <f t="shared" si="29"/>
        <v>209</v>
      </c>
      <c r="HC13" s="158">
        <f t="shared" si="29"/>
        <v>210</v>
      </c>
      <c r="HD13" s="835">
        <f t="shared" si="29"/>
        <v>211</v>
      </c>
      <c r="HE13" s="826">
        <f t="shared" si="29"/>
        <v>212</v>
      </c>
      <c r="HF13" s="158">
        <f t="shared" si="29"/>
        <v>213</v>
      </c>
      <c r="HG13" s="158">
        <f t="shared" si="29"/>
        <v>214</v>
      </c>
      <c r="HH13" s="835">
        <f t="shared" si="29"/>
        <v>215</v>
      </c>
      <c r="HI13" s="158">
        <f t="shared" si="29"/>
        <v>216</v>
      </c>
      <c r="HJ13" s="158">
        <f t="shared" si="29"/>
        <v>217</v>
      </c>
      <c r="HK13" s="835">
        <f>HJ13+1</f>
        <v>218</v>
      </c>
      <c r="HL13" s="158">
        <f>HK13+1</f>
        <v>219</v>
      </c>
      <c r="HM13" s="158">
        <f>HL13+1</f>
        <v>220</v>
      </c>
      <c r="HN13" s="826">
        <f t="shared" ref="HN13:IH13" si="30">HM13+1</f>
        <v>221</v>
      </c>
      <c r="HO13" s="826">
        <f t="shared" si="30"/>
        <v>222</v>
      </c>
      <c r="HP13" s="826">
        <f t="shared" si="30"/>
        <v>223</v>
      </c>
      <c r="HQ13" s="825">
        <f t="shared" si="30"/>
        <v>224</v>
      </c>
      <c r="HR13" s="158">
        <f t="shared" si="30"/>
        <v>225</v>
      </c>
      <c r="HS13" s="824">
        <f t="shared" si="30"/>
        <v>226</v>
      </c>
      <c r="HT13" s="826">
        <f t="shared" si="30"/>
        <v>227</v>
      </c>
      <c r="HU13" s="824">
        <f t="shared" si="30"/>
        <v>228</v>
      </c>
      <c r="HV13" s="826">
        <f t="shared" si="30"/>
        <v>229</v>
      </c>
      <c r="HW13" s="826">
        <f>HV13+1</f>
        <v>230</v>
      </c>
      <c r="HX13" s="826">
        <f t="shared" si="30"/>
        <v>231</v>
      </c>
      <c r="HY13" s="826">
        <f t="shared" si="30"/>
        <v>232</v>
      </c>
      <c r="HZ13" s="826">
        <f t="shared" si="30"/>
        <v>233</v>
      </c>
      <c r="IA13" s="826">
        <f t="shared" si="30"/>
        <v>234</v>
      </c>
      <c r="IB13" s="826">
        <f t="shared" si="30"/>
        <v>235</v>
      </c>
      <c r="IC13" s="826">
        <f t="shared" si="30"/>
        <v>236</v>
      </c>
      <c r="ID13" s="826">
        <f t="shared" si="30"/>
        <v>237</v>
      </c>
      <c r="IE13" s="826">
        <f t="shared" si="30"/>
        <v>238</v>
      </c>
      <c r="IF13" s="826">
        <f t="shared" si="30"/>
        <v>239</v>
      </c>
      <c r="IG13" s="826">
        <f t="shared" si="30"/>
        <v>240</v>
      </c>
      <c r="IH13" s="826">
        <f t="shared" si="30"/>
        <v>241</v>
      </c>
      <c r="II13" s="824">
        <f>IH13+1</f>
        <v>242</v>
      </c>
      <c r="IJ13" s="824">
        <f t="shared" ref="IJ13:IK13" si="31">II13+1</f>
        <v>243</v>
      </c>
      <c r="IK13" s="824">
        <f t="shared" si="31"/>
        <v>244</v>
      </c>
      <c r="IL13" s="825">
        <f>IK13+1</f>
        <v>245</v>
      </c>
      <c r="IM13" s="158">
        <f>IL13+1</f>
        <v>246</v>
      </c>
      <c r="IN13" s="158">
        <f t="shared" ref="IN13:KC13" si="32">IM13+1</f>
        <v>247</v>
      </c>
      <c r="IO13" s="158">
        <f t="shared" si="32"/>
        <v>248</v>
      </c>
      <c r="IP13" s="158">
        <f t="shared" si="32"/>
        <v>249</v>
      </c>
      <c r="IQ13" s="158">
        <f t="shared" si="32"/>
        <v>250</v>
      </c>
      <c r="IR13" s="158">
        <f t="shared" si="32"/>
        <v>251</v>
      </c>
      <c r="IS13" s="158">
        <f>IR13+1</f>
        <v>252</v>
      </c>
      <c r="IT13" s="158">
        <f t="shared" si="32"/>
        <v>253</v>
      </c>
      <c r="IU13" s="158">
        <f t="shared" si="32"/>
        <v>254</v>
      </c>
      <c r="IV13" s="158">
        <f t="shared" si="32"/>
        <v>255</v>
      </c>
      <c r="IW13" s="825">
        <f t="shared" si="32"/>
        <v>256</v>
      </c>
      <c r="IX13" s="158">
        <f t="shared" si="32"/>
        <v>257</v>
      </c>
      <c r="IY13" s="158">
        <f t="shared" si="32"/>
        <v>258</v>
      </c>
      <c r="IZ13" s="158">
        <f t="shared" si="32"/>
        <v>259</v>
      </c>
      <c r="JA13" s="825">
        <f t="shared" si="32"/>
        <v>260</v>
      </c>
      <c r="JB13" s="158">
        <f t="shared" si="32"/>
        <v>261</v>
      </c>
      <c r="JC13" s="158">
        <f t="shared" si="32"/>
        <v>262</v>
      </c>
      <c r="JD13" s="158">
        <f>JC13+1</f>
        <v>263</v>
      </c>
      <c r="JE13" s="158">
        <f t="shared" si="32"/>
        <v>264</v>
      </c>
      <c r="JF13" s="158">
        <f t="shared" si="32"/>
        <v>265</v>
      </c>
      <c r="JG13" s="158">
        <f t="shared" si="32"/>
        <v>266</v>
      </c>
      <c r="JH13" s="158">
        <f t="shared" si="32"/>
        <v>267</v>
      </c>
      <c r="JI13" s="158">
        <f t="shared" si="32"/>
        <v>268</v>
      </c>
      <c r="JJ13" s="158">
        <f t="shared" si="32"/>
        <v>269</v>
      </c>
      <c r="JK13" s="158">
        <f t="shared" si="32"/>
        <v>270</v>
      </c>
      <c r="JL13" s="825">
        <f t="shared" si="32"/>
        <v>271</v>
      </c>
      <c r="JM13" s="158">
        <f t="shared" si="32"/>
        <v>272</v>
      </c>
      <c r="JN13" s="158">
        <f t="shared" si="32"/>
        <v>273</v>
      </c>
      <c r="JO13" s="158">
        <f t="shared" si="32"/>
        <v>274</v>
      </c>
      <c r="JP13" s="158">
        <f t="shared" si="32"/>
        <v>275</v>
      </c>
      <c r="JQ13" s="158">
        <f t="shared" si="32"/>
        <v>276</v>
      </c>
      <c r="JR13" s="825">
        <f t="shared" si="32"/>
        <v>277</v>
      </c>
      <c r="JS13" s="158">
        <f t="shared" si="32"/>
        <v>278</v>
      </c>
      <c r="JT13" s="158">
        <f t="shared" si="32"/>
        <v>279</v>
      </c>
      <c r="JU13" s="158">
        <f t="shared" si="32"/>
        <v>280</v>
      </c>
      <c r="JV13" s="158">
        <f t="shared" si="32"/>
        <v>281</v>
      </c>
      <c r="JW13" s="158">
        <f t="shared" si="32"/>
        <v>282</v>
      </c>
      <c r="JX13" s="158">
        <f t="shared" si="32"/>
        <v>283</v>
      </c>
      <c r="JY13" s="158">
        <f t="shared" si="32"/>
        <v>284</v>
      </c>
      <c r="JZ13" s="158">
        <f t="shared" si="32"/>
        <v>285</v>
      </c>
      <c r="KA13" s="158">
        <f t="shared" si="32"/>
        <v>286</v>
      </c>
      <c r="KB13" s="158">
        <f t="shared" si="32"/>
        <v>287</v>
      </c>
      <c r="KC13" s="158">
        <f t="shared" si="32"/>
        <v>288</v>
      </c>
      <c r="KD13" s="177">
        <f>KC13+1</f>
        <v>289</v>
      </c>
      <c r="KE13" s="324">
        <f>KD13+1</f>
        <v>290</v>
      </c>
      <c r="KF13" s="175">
        <f t="shared" ref="KF13:KG13" si="33">KE13+1</f>
        <v>291</v>
      </c>
      <c r="KG13" s="175">
        <f t="shared" si="33"/>
        <v>292</v>
      </c>
      <c r="KH13" s="175">
        <f>KG13+1</f>
        <v>293</v>
      </c>
      <c r="KI13" s="175">
        <f t="shared" ref="KI13:KO13" si="34">KH13+1</f>
        <v>294</v>
      </c>
      <c r="KJ13" s="175">
        <f t="shared" si="34"/>
        <v>295</v>
      </c>
      <c r="KK13" s="175">
        <f>KJ13+1</f>
        <v>296</v>
      </c>
      <c r="KL13" s="175">
        <f t="shared" si="34"/>
        <v>297</v>
      </c>
      <c r="KM13" s="175">
        <f t="shared" si="34"/>
        <v>298</v>
      </c>
      <c r="KN13" s="175">
        <f>KM13+1</f>
        <v>299</v>
      </c>
      <c r="KO13" s="175">
        <f t="shared" si="34"/>
        <v>300</v>
      </c>
      <c r="KP13" s="175">
        <f>KO13+1</f>
        <v>301</v>
      </c>
      <c r="KQ13" s="175">
        <f>KP13+1</f>
        <v>302</v>
      </c>
      <c r="KR13" s="175">
        <f t="shared" ref="KR13:LD13" si="35">KQ13+1</f>
        <v>303</v>
      </c>
      <c r="KS13" s="175">
        <f t="shared" si="35"/>
        <v>304</v>
      </c>
      <c r="KT13" s="175">
        <f>KS13+1</f>
        <v>305</v>
      </c>
      <c r="KU13" s="175">
        <f t="shared" si="35"/>
        <v>306</v>
      </c>
      <c r="KV13" s="175">
        <f t="shared" si="35"/>
        <v>307</v>
      </c>
      <c r="KW13" s="175">
        <f t="shared" si="35"/>
        <v>308</v>
      </c>
      <c r="KX13" s="175">
        <f t="shared" si="35"/>
        <v>309</v>
      </c>
      <c r="KY13" s="175">
        <f>KX13+1</f>
        <v>310</v>
      </c>
      <c r="KZ13" s="175">
        <v>324</v>
      </c>
      <c r="LA13" s="175">
        <v>325</v>
      </c>
      <c r="LB13" s="175">
        <f>KX13+1</f>
        <v>310</v>
      </c>
      <c r="LC13" s="175">
        <f t="shared" si="35"/>
        <v>311</v>
      </c>
      <c r="LD13" s="175">
        <f t="shared" si="35"/>
        <v>312</v>
      </c>
      <c r="LE13" s="175">
        <f>LD13+1</f>
        <v>313</v>
      </c>
      <c r="LF13" s="175">
        <f t="shared" ref="LF13:LR13" si="36">LE13+1</f>
        <v>314</v>
      </c>
      <c r="LG13" s="175">
        <f t="shared" si="36"/>
        <v>315</v>
      </c>
      <c r="LH13" s="175">
        <f t="shared" si="36"/>
        <v>316</v>
      </c>
      <c r="LI13" s="828">
        <f t="shared" si="36"/>
        <v>317</v>
      </c>
      <c r="LJ13" s="175">
        <f t="shared" si="36"/>
        <v>318</v>
      </c>
      <c r="LK13" s="175">
        <f>LJ13+1</f>
        <v>319</v>
      </c>
      <c r="LL13" s="175">
        <f t="shared" si="36"/>
        <v>320</v>
      </c>
      <c r="LM13" s="175">
        <f t="shared" si="36"/>
        <v>321</v>
      </c>
      <c r="LN13" s="175">
        <f t="shared" si="36"/>
        <v>322</v>
      </c>
      <c r="LO13" s="175">
        <f t="shared" si="36"/>
        <v>323</v>
      </c>
      <c r="LP13" s="175">
        <f t="shared" si="36"/>
        <v>324</v>
      </c>
      <c r="LQ13" s="175">
        <f t="shared" si="36"/>
        <v>325</v>
      </c>
      <c r="LR13" s="175">
        <f t="shared" si="36"/>
        <v>326</v>
      </c>
      <c r="LS13" s="175">
        <f>LR13+1</f>
        <v>327</v>
      </c>
      <c r="LT13" s="175">
        <f t="shared" ref="LT13:LZ13" si="37">LS13+1</f>
        <v>328</v>
      </c>
      <c r="LU13" s="175">
        <f t="shared" si="37"/>
        <v>329</v>
      </c>
      <c r="LV13" s="175">
        <f t="shared" si="37"/>
        <v>330</v>
      </c>
      <c r="LW13" s="175">
        <f t="shared" si="37"/>
        <v>331</v>
      </c>
      <c r="LX13" s="175">
        <f t="shared" si="37"/>
        <v>332</v>
      </c>
      <c r="LY13" s="175">
        <f t="shared" si="37"/>
        <v>333</v>
      </c>
      <c r="LZ13" s="175">
        <f t="shared" si="37"/>
        <v>334</v>
      </c>
      <c r="MA13" s="175">
        <f>LZ13+1</f>
        <v>335</v>
      </c>
      <c r="MB13" s="175">
        <f t="shared" ref="MB13" si="38">MA13+1</f>
        <v>336</v>
      </c>
      <c r="MC13" s="175">
        <f>MB13+1</f>
        <v>337</v>
      </c>
      <c r="MD13" s="175">
        <f t="shared" ref="MD13:MO13" si="39">MC13+1</f>
        <v>338</v>
      </c>
      <c r="ME13" s="175">
        <f t="shared" si="39"/>
        <v>339</v>
      </c>
      <c r="MF13" s="175">
        <f t="shared" si="39"/>
        <v>340</v>
      </c>
      <c r="MG13" s="175">
        <f t="shared" si="39"/>
        <v>341</v>
      </c>
      <c r="MH13" s="175">
        <f t="shared" si="39"/>
        <v>342</v>
      </c>
      <c r="MI13" s="175">
        <f t="shared" si="39"/>
        <v>343</v>
      </c>
      <c r="MJ13" s="175">
        <f t="shared" si="39"/>
        <v>344</v>
      </c>
      <c r="MK13" s="175">
        <f t="shared" si="39"/>
        <v>345</v>
      </c>
      <c r="ML13" s="175">
        <f t="shared" si="39"/>
        <v>346</v>
      </c>
      <c r="MM13" s="175">
        <f t="shared" si="39"/>
        <v>347</v>
      </c>
      <c r="MN13" s="828">
        <f t="shared" si="39"/>
        <v>348</v>
      </c>
      <c r="MO13" s="829">
        <f t="shared" si="39"/>
        <v>349</v>
      </c>
      <c r="MP13" s="829">
        <f>MO13+1</f>
        <v>350</v>
      </c>
      <c r="MQ13" s="828">
        <f>MP13+1</f>
        <v>351</v>
      </c>
      <c r="MR13" s="828">
        <f t="shared" ref="MR13:MU13" si="40">MQ13+1</f>
        <v>352</v>
      </c>
      <c r="MS13" s="828">
        <f t="shared" si="40"/>
        <v>353</v>
      </c>
      <c r="MT13" s="828">
        <f t="shared" si="40"/>
        <v>354</v>
      </c>
      <c r="MU13" s="828">
        <f t="shared" si="40"/>
        <v>355</v>
      </c>
      <c r="MV13" s="828">
        <f>MU13+1</f>
        <v>356</v>
      </c>
      <c r="MW13" s="828">
        <f>MV13+1</f>
        <v>357</v>
      </c>
      <c r="MX13" s="828">
        <f t="shared" ref="MX13" si="41">MW13+1</f>
        <v>358</v>
      </c>
      <c r="MY13" s="828">
        <f>MX13+1</f>
        <v>359</v>
      </c>
      <c r="MZ13" s="829">
        <f>MY13+1</f>
        <v>360</v>
      </c>
      <c r="NA13" s="828">
        <f>MZ13+1</f>
        <v>361</v>
      </c>
      <c r="NB13" s="828">
        <f t="shared" ref="NB13:NE13" si="42">NA13+1</f>
        <v>362</v>
      </c>
      <c r="NC13" s="828">
        <f t="shared" si="42"/>
        <v>363</v>
      </c>
      <c r="ND13" s="828">
        <f t="shared" si="42"/>
        <v>364</v>
      </c>
      <c r="NE13" s="828">
        <f t="shared" si="42"/>
        <v>365</v>
      </c>
      <c r="NF13" s="828">
        <f>NE13+1</f>
        <v>366</v>
      </c>
      <c r="NG13" s="828">
        <f>NF13+1</f>
        <v>367</v>
      </c>
      <c r="NH13" s="830">
        <f t="shared" ref="NH13" si="43">NG13+1</f>
        <v>368</v>
      </c>
      <c r="NI13" s="828">
        <f>NH13+1</f>
        <v>369</v>
      </c>
      <c r="NJ13" s="848">
        <f>NI13+1</f>
        <v>370</v>
      </c>
      <c r="NK13" s="826">
        <f>NJ13+1</f>
        <v>371</v>
      </c>
      <c r="NL13" s="158">
        <f>NK13+1</f>
        <v>372</v>
      </c>
      <c r="NM13" s="175">
        <f t="shared" ref="NM13:NQ13" si="44">NL13+1</f>
        <v>373</v>
      </c>
      <c r="NN13" s="175">
        <f t="shared" si="44"/>
        <v>374</v>
      </c>
      <c r="NO13" s="175">
        <f t="shared" si="44"/>
        <v>375</v>
      </c>
      <c r="NP13" s="175">
        <f t="shared" si="44"/>
        <v>376</v>
      </c>
      <c r="NQ13" s="175">
        <f t="shared" si="44"/>
        <v>377</v>
      </c>
      <c r="NR13" s="175">
        <f>NQ13+1</f>
        <v>378</v>
      </c>
      <c r="NS13" s="175">
        <f>NR13+1</f>
        <v>379</v>
      </c>
      <c r="NT13" s="175">
        <f t="shared" ref="NT13:NZ13" si="45">NS13+1</f>
        <v>380</v>
      </c>
      <c r="NU13" s="175">
        <f t="shared" si="45"/>
        <v>381</v>
      </c>
      <c r="NV13" s="175">
        <f t="shared" si="45"/>
        <v>382</v>
      </c>
      <c r="NW13" s="175">
        <f t="shared" si="45"/>
        <v>383</v>
      </c>
      <c r="NX13" s="175">
        <f t="shared" si="45"/>
        <v>384</v>
      </c>
      <c r="NY13" s="175">
        <f t="shared" si="45"/>
        <v>385</v>
      </c>
      <c r="NZ13" s="175">
        <f t="shared" si="45"/>
        <v>386</v>
      </c>
      <c r="OA13" s="324">
        <f>NZ13+1</f>
        <v>387</v>
      </c>
      <c r="OB13" s="830">
        <f>OA13+1</f>
        <v>388</v>
      </c>
    </row>
    <row r="14" spans="1:392" s="849" customFormat="1" ht="10.5" customHeight="1" thickBot="1" x14ac:dyDescent="0.2">
      <c r="A14" s="832" t="s">
        <v>421</v>
      </c>
      <c r="B14" s="161" t="s">
        <v>422</v>
      </c>
      <c r="C14" s="161" t="s">
        <v>422</v>
      </c>
      <c r="D14" s="832" t="s">
        <v>422</v>
      </c>
      <c r="E14" s="161" t="s">
        <v>422</v>
      </c>
      <c r="F14" s="845" t="s">
        <v>422</v>
      </c>
      <c r="G14" s="845" t="s">
        <v>422</v>
      </c>
      <c r="H14" s="161" t="s">
        <v>423</v>
      </c>
      <c r="I14" s="161" t="s">
        <v>424</v>
      </c>
      <c r="J14" s="845" t="s">
        <v>423</v>
      </c>
      <c r="K14" s="831" t="s">
        <v>422</v>
      </c>
      <c r="L14" s="161" t="s">
        <v>421</v>
      </c>
      <c r="M14" s="161" t="s">
        <v>421</v>
      </c>
      <c r="N14" s="161" t="s">
        <v>421</v>
      </c>
      <c r="O14" s="161" t="s">
        <v>421</v>
      </c>
      <c r="P14" s="161" t="s">
        <v>421</v>
      </c>
      <c r="Q14" s="161" t="s">
        <v>421</v>
      </c>
      <c r="R14" s="161" t="s">
        <v>421</v>
      </c>
      <c r="S14" s="161" t="s">
        <v>421</v>
      </c>
      <c r="T14" s="831" t="s">
        <v>422</v>
      </c>
      <c r="U14" s="161" t="s">
        <v>421</v>
      </c>
      <c r="V14" s="161" t="s">
        <v>421</v>
      </c>
      <c r="W14" s="161" t="s">
        <v>421</v>
      </c>
      <c r="X14" s="161" t="s">
        <v>421</v>
      </c>
      <c r="Y14" s="161" t="s">
        <v>421</v>
      </c>
      <c r="Z14" s="161" t="s">
        <v>421</v>
      </c>
      <c r="AA14" s="161" t="s">
        <v>421</v>
      </c>
      <c r="AB14" s="161" t="s">
        <v>421</v>
      </c>
      <c r="AC14" s="161" t="s">
        <v>421</v>
      </c>
      <c r="AD14" s="161" t="s">
        <v>421</v>
      </c>
      <c r="AE14" s="831" t="s">
        <v>422</v>
      </c>
      <c r="AF14" s="831" t="s">
        <v>422</v>
      </c>
      <c r="AG14" s="831" t="s">
        <v>422</v>
      </c>
      <c r="AH14" s="831" t="s">
        <v>422</v>
      </c>
      <c r="AI14" s="831" t="s">
        <v>422</v>
      </c>
      <c r="AJ14" s="831" t="s">
        <v>422</v>
      </c>
      <c r="AK14" s="831" t="s">
        <v>422</v>
      </c>
      <c r="AL14" s="831" t="s">
        <v>422</v>
      </c>
      <c r="AM14" s="831" t="s">
        <v>422</v>
      </c>
      <c r="AN14" s="831" t="s">
        <v>422</v>
      </c>
      <c r="AO14" s="831" t="s">
        <v>422</v>
      </c>
      <c r="AP14" s="831" t="s">
        <v>422</v>
      </c>
      <c r="AQ14" s="831" t="s">
        <v>422</v>
      </c>
      <c r="AR14" s="831" t="s">
        <v>422</v>
      </c>
      <c r="AS14" s="831" t="s">
        <v>422</v>
      </c>
      <c r="AT14" s="831" t="s">
        <v>422</v>
      </c>
      <c r="AU14" s="831" t="s">
        <v>422</v>
      </c>
      <c r="AV14" s="831" t="s">
        <v>422</v>
      </c>
      <c r="AW14" s="831" t="s">
        <v>422</v>
      </c>
      <c r="AX14" s="831" t="s">
        <v>422</v>
      </c>
      <c r="AY14" s="831" t="s">
        <v>422</v>
      </c>
      <c r="AZ14" s="831" t="s">
        <v>422</v>
      </c>
      <c r="BA14" s="831" t="s">
        <v>422</v>
      </c>
      <c r="BB14" s="831" t="s">
        <v>422</v>
      </c>
      <c r="BC14" s="831" t="s">
        <v>422</v>
      </c>
      <c r="BD14" s="831" t="s">
        <v>422</v>
      </c>
      <c r="BE14" s="831" t="s">
        <v>422</v>
      </c>
      <c r="BF14" s="831" t="s">
        <v>422</v>
      </c>
      <c r="BG14" s="831" t="s">
        <v>422</v>
      </c>
      <c r="BH14" s="837" t="s">
        <v>422</v>
      </c>
      <c r="BI14" s="831" t="s">
        <v>422</v>
      </c>
      <c r="BJ14" s="831" t="s">
        <v>422</v>
      </c>
      <c r="BK14" s="161" t="s">
        <v>421</v>
      </c>
      <c r="BL14" s="161" t="s">
        <v>421</v>
      </c>
      <c r="BM14" s="161" t="s">
        <v>421</v>
      </c>
      <c r="BN14" s="161" t="s">
        <v>421</v>
      </c>
      <c r="BO14" s="161" t="s">
        <v>421</v>
      </c>
      <c r="BP14" s="161" t="s">
        <v>421</v>
      </c>
      <c r="BQ14" s="831" t="s">
        <v>422</v>
      </c>
      <c r="BR14" s="161" t="s">
        <v>421</v>
      </c>
      <c r="BS14" s="161" t="s">
        <v>421</v>
      </c>
      <c r="BT14" s="161" t="s">
        <v>421</v>
      </c>
      <c r="BU14" s="161" t="s">
        <v>421</v>
      </c>
      <c r="BV14" s="161" t="s">
        <v>421</v>
      </c>
      <c r="BW14" s="161" t="s">
        <v>421</v>
      </c>
      <c r="BX14" s="831" t="s">
        <v>422</v>
      </c>
      <c r="BY14" s="161" t="s">
        <v>421</v>
      </c>
      <c r="BZ14" s="161" t="s">
        <v>421</v>
      </c>
      <c r="CA14" s="161" t="s">
        <v>421</v>
      </c>
      <c r="CB14" s="161" t="s">
        <v>421</v>
      </c>
      <c r="CC14" s="161" t="s">
        <v>421</v>
      </c>
      <c r="CD14" s="161" t="s">
        <v>421</v>
      </c>
      <c r="CE14" s="161" t="s">
        <v>421</v>
      </c>
      <c r="CF14" s="831" t="s">
        <v>422</v>
      </c>
      <c r="CG14" s="161" t="s">
        <v>421</v>
      </c>
      <c r="CH14" s="161" t="s">
        <v>421</v>
      </c>
      <c r="CI14" s="161" t="s">
        <v>421</v>
      </c>
      <c r="CJ14" s="161" t="s">
        <v>421</v>
      </c>
      <c r="CK14" s="161" t="s">
        <v>421</v>
      </c>
      <c r="CL14" s="832" t="s">
        <v>424</v>
      </c>
      <c r="CM14" s="831" t="s">
        <v>422</v>
      </c>
      <c r="CN14" s="831" t="s">
        <v>422</v>
      </c>
      <c r="CO14" s="161" t="s">
        <v>421</v>
      </c>
      <c r="CP14" s="161" t="s">
        <v>421</v>
      </c>
      <c r="CQ14" s="161" t="s">
        <v>421</v>
      </c>
      <c r="CR14" s="161" t="s">
        <v>421</v>
      </c>
      <c r="CS14" s="161" t="s">
        <v>421</v>
      </c>
      <c r="CT14" s="161" t="s">
        <v>421</v>
      </c>
      <c r="CU14" s="831" t="s">
        <v>422</v>
      </c>
      <c r="CV14" s="161" t="s">
        <v>421</v>
      </c>
      <c r="CW14" s="161" t="s">
        <v>421</v>
      </c>
      <c r="CX14" s="161" t="s">
        <v>421</v>
      </c>
      <c r="CY14" s="161" t="s">
        <v>421</v>
      </c>
      <c r="CZ14" s="161" t="s">
        <v>421</v>
      </c>
      <c r="DA14" s="161" t="s">
        <v>421</v>
      </c>
      <c r="DB14" s="831" t="s">
        <v>422</v>
      </c>
      <c r="DC14" s="161" t="s">
        <v>421</v>
      </c>
      <c r="DD14" s="161" t="s">
        <v>421</v>
      </c>
      <c r="DE14" s="161" t="s">
        <v>421</v>
      </c>
      <c r="DF14" s="161" t="s">
        <v>421</v>
      </c>
      <c r="DG14" s="161" t="s">
        <v>421</v>
      </c>
      <c r="DH14" s="161" t="s">
        <v>421</v>
      </c>
      <c r="DI14" s="161" t="s">
        <v>421</v>
      </c>
      <c r="DJ14" s="831" t="s">
        <v>422</v>
      </c>
      <c r="DK14" s="161" t="s">
        <v>421</v>
      </c>
      <c r="DL14" s="161" t="s">
        <v>421</v>
      </c>
      <c r="DM14" s="161" t="s">
        <v>421</v>
      </c>
      <c r="DN14" s="161" t="s">
        <v>421</v>
      </c>
      <c r="DO14" s="161" t="s">
        <v>421</v>
      </c>
      <c r="DP14" s="161" t="s">
        <v>421</v>
      </c>
      <c r="DQ14" s="845" t="s">
        <v>421</v>
      </c>
      <c r="DR14" s="831" t="s">
        <v>422</v>
      </c>
      <c r="DS14" s="846" t="s">
        <v>421</v>
      </c>
      <c r="DT14" s="832" t="s">
        <v>421</v>
      </c>
      <c r="DU14" s="832" t="s">
        <v>421</v>
      </c>
      <c r="DV14" s="832" t="s">
        <v>421</v>
      </c>
      <c r="DW14" s="832" t="s">
        <v>423</v>
      </c>
      <c r="DX14" s="832" t="s">
        <v>421</v>
      </c>
      <c r="DY14" s="832" t="s">
        <v>421</v>
      </c>
      <c r="DZ14" s="832" t="s">
        <v>421</v>
      </c>
      <c r="EA14" s="832" t="s">
        <v>421</v>
      </c>
      <c r="EB14" s="832" t="s">
        <v>421</v>
      </c>
      <c r="EC14" s="833" t="s">
        <v>422</v>
      </c>
      <c r="ED14" s="151" t="s">
        <v>421</v>
      </c>
      <c r="EE14" s="165" t="s">
        <v>421</v>
      </c>
      <c r="EF14" s="165" t="s">
        <v>421</v>
      </c>
      <c r="EG14" s="165" t="s">
        <v>421</v>
      </c>
      <c r="EH14" s="165" t="s">
        <v>421</v>
      </c>
      <c r="EI14" s="151" t="s">
        <v>421</v>
      </c>
      <c r="EJ14" s="165" t="s">
        <v>421</v>
      </c>
      <c r="EK14" s="831" t="s">
        <v>422</v>
      </c>
      <c r="EL14" s="831" t="s">
        <v>422</v>
      </c>
      <c r="EM14" s="165" t="s">
        <v>421</v>
      </c>
      <c r="EN14" s="165" t="s">
        <v>421</v>
      </c>
      <c r="EO14" s="165" t="s">
        <v>421</v>
      </c>
      <c r="EP14" s="151" t="s">
        <v>421</v>
      </c>
      <c r="EQ14" s="831" t="s">
        <v>422</v>
      </c>
      <c r="ER14" s="831" t="s">
        <v>422</v>
      </c>
      <c r="ES14" s="165" t="s">
        <v>421</v>
      </c>
      <c r="ET14" s="165" t="s">
        <v>421</v>
      </c>
      <c r="EU14" s="165" t="s">
        <v>421</v>
      </c>
      <c r="EV14" s="151" t="s">
        <v>421</v>
      </c>
      <c r="EW14" s="161" t="s">
        <v>423</v>
      </c>
      <c r="EX14" s="161" t="s">
        <v>424</v>
      </c>
      <c r="EY14" s="845" t="s">
        <v>424</v>
      </c>
      <c r="EZ14" s="161" t="s">
        <v>423</v>
      </c>
      <c r="FA14" s="161" t="s">
        <v>424</v>
      </c>
      <c r="FB14" s="845" t="s">
        <v>424</v>
      </c>
      <c r="FC14" s="161" t="s">
        <v>423</v>
      </c>
      <c r="FD14" s="161" t="s">
        <v>424</v>
      </c>
      <c r="FE14" s="845" t="s">
        <v>424</v>
      </c>
      <c r="FF14" s="831" t="s">
        <v>422</v>
      </c>
      <c r="FG14" s="831" t="s">
        <v>422</v>
      </c>
      <c r="FH14" s="165" t="s">
        <v>421</v>
      </c>
      <c r="FI14" s="165" t="s">
        <v>421</v>
      </c>
      <c r="FJ14" s="165" t="s">
        <v>421</v>
      </c>
      <c r="FK14" s="151" t="s">
        <v>421</v>
      </c>
      <c r="FL14" s="151" t="s">
        <v>424</v>
      </c>
      <c r="FM14" s="151" t="s">
        <v>424</v>
      </c>
      <c r="FN14" s="151" t="s">
        <v>424</v>
      </c>
      <c r="FO14" s="151" t="s">
        <v>424</v>
      </c>
      <c r="FP14" s="151" t="s">
        <v>424</v>
      </c>
      <c r="FQ14" s="151" t="s">
        <v>424</v>
      </c>
      <c r="FR14" s="151" t="s">
        <v>424</v>
      </c>
      <c r="FS14" s="151" t="s">
        <v>424</v>
      </c>
      <c r="FT14" s="151" t="s">
        <v>424</v>
      </c>
      <c r="FU14" s="151" t="s">
        <v>423</v>
      </c>
      <c r="FV14" s="151" t="s">
        <v>424</v>
      </c>
      <c r="FW14" s="151" t="s">
        <v>424</v>
      </c>
      <c r="FX14" s="151" t="s">
        <v>424</v>
      </c>
      <c r="FY14" s="151" t="s">
        <v>424</v>
      </c>
      <c r="FZ14" s="151" t="s">
        <v>424</v>
      </c>
      <c r="GA14" s="151" t="s">
        <v>424</v>
      </c>
      <c r="GB14" s="151" t="s">
        <v>424</v>
      </c>
      <c r="GC14" s="151" t="s">
        <v>424</v>
      </c>
      <c r="GD14" s="151" t="s">
        <v>424</v>
      </c>
      <c r="GE14" s="151" t="s">
        <v>424</v>
      </c>
      <c r="GF14" s="151" t="s">
        <v>424</v>
      </c>
      <c r="GG14" s="151" t="s">
        <v>423</v>
      </c>
      <c r="GH14" s="831" t="s">
        <v>422</v>
      </c>
      <c r="GI14" s="165" t="s">
        <v>421</v>
      </c>
      <c r="GJ14" s="165" t="s">
        <v>421</v>
      </c>
      <c r="GK14" s="151" t="s">
        <v>421</v>
      </c>
      <c r="GL14" s="165" t="s">
        <v>421</v>
      </c>
      <c r="GM14" s="165" t="s">
        <v>421</v>
      </c>
      <c r="GN14" s="831" t="s">
        <v>422</v>
      </c>
      <c r="GO14" s="151" t="s">
        <v>421</v>
      </c>
      <c r="GP14" s="151" t="s">
        <v>421</v>
      </c>
      <c r="GQ14" s="831" t="s">
        <v>422</v>
      </c>
      <c r="GR14" s="178" t="s">
        <v>424</v>
      </c>
      <c r="GS14" s="178" t="s">
        <v>424</v>
      </c>
      <c r="GT14" s="178" t="s">
        <v>424</v>
      </c>
      <c r="GU14" s="161" t="s">
        <v>423</v>
      </c>
      <c r="GV14" s="161" t="s">
        <v>424</v>
      </c>
      <c r="GW14" s="845" t="s">
        <v>424</v>
      </c>
      <c r="GX14" s="834" t="s">
        <v>422</v>
      </c>
      <c r="GY14" s="170" t="s">
        <v>422</v>
      </c>
      <c r="GZ14" s="171" t="s">
        <v>421</v>
      </c>
      <c r="HA14" s="154" t="s">
        <v>421</v>
      </c>
      <c r="HB14" s="161" t="s">
        <v>423</v>
      </c>
      <c r="HC14" s="161" t="s">
        <v>424</v>
      </c>
      <c r="HD14" s="845" t="s">
        <v>424</v>
      </c>
      <c r="HE14" s="834" t="s">
        <v>422</v>
      </c>
      <c r="HF14" s="170" t="s">
        <v>422</v>
      </c>
      <c r="HG14" s="171" t="s">
        <v>421</v>
      </c>
      <c r="HH14" s="154" t="s">
        <v>421</v>
      </c>
      <c r="HI14" s="161" t="s">
        <v>423</v>
      </c>
      <c r="HJ14" s="161" t="s">
        <v>424</v>
      </c>
      <c r="HK14" s="845" t="s">
        <v>424</v>
      </c>
      <c r="HL14" s="161" t="s">
        <v>424</v>
      </c>
      <c r="HM14" s="161" t="s">
        <v>424</v>
      </c>
      <c r="HN14" s="846" t="s">
        <v>422</v>
      </c>
      <c r="HO14" s="846" t="s">
        <v>422</v>
      </c>
      <c r="HP14" s="831" t="s">
        <v>422</v>
      </c>
      <c r="HQ14" s="831" t="s">
        <v>422</v>
      </c>
      <c r="HR14" s="161" t="s">
        <v>421</v>
      </c>
      <c r="HS14" s="832" t="s">
        <v>421</v>
      </c>
      <c r="HT14" s="831" t="s">
        <v>422</v>
      </c>
      <c r="HU14" s="832" t="s">
        <v>421</v>
      </c>
      <c r="HV14" s="831" t="s">
        <v>422</v>
      </c>
      <c r="HW14" s="846" t="s">
        <v>421</v>
      </c>
      <c r="HX14" s="846" t="s">
        <v>421</v>
      </c>
      <c r="HY14" s="846" t="s">
        <v>421</v>
      </c>
      <c r="HZ14" s="846" t="s">
        <v>421</v>
      </c>
      <c r="IA14" s="846" t="s">
        <v>421</v>
      </c>
      <c r="IB14" s="846" t="s">
        <v>421</v>
      </c>
      <c r="IC14" s="846" t="s">
        <v>421</v>
      </c>
      <c r="ID14" s="846" t="s">
        <v>421</v>
      </c>
      <c r="IE14" s="846" t="s">
        <v>421</v>
      </c>
      <c r="IF14" s="846" t="s">
        <v>421</v>
      </c>
      <c r="IG14" s="846" t="s">
        <v>421</v>
      </c>
      <c r="IH14" s="846" t="s">
        <v>421</v>
      </c>
      <c r="II14" s="832" t="s">
        <v>421</v>
      </c>
      <c r="IJ14" s="832" t="s">
        <v>421</v>
      </c>
      <c r="IK14" s="832" t="s">
        <v>421</v>
      </c>
      <c r="IL14" s="831" t="s">
        <v>422</v>
      </c>
      <c r="IM14" s="161" t="s">
        <v>424</v>
      </c>
      <c r="IN14" s="161" t="s">
        <v>424</v>
      </c>
      <c r="IO14" s="161" t="s">
        <v>424</v>
      </c>
      <c r="IP14" s="161" t="s">
        <v>424</v>
      </c>
      <c r="IQ14" s="161" t="s">
        <v>424</v>
      </c>
      <c r="IR14" s="161" t="s">
        <v>424</v>
      </c>
      <c r="IS14" s="161" t="s">
        <v>424</v>
      </c>
      <c r="IT14" s="161" t="s">
        <v>424</v>
      </c>
      <c r="IU14" s="161" t="s">
        <v>424</v>
      </c>
      <c r="IV14" s="161" t="s">
        <v>424</v>
      </c>
      <c r="IW14" s="831" t="s">
        <v>422</v>
      </c>
      <c r="IX14" s="161" t="s">
        <v>424</v>
      </c>
      <c r="IY14" s="161" t="s">
        <v>424</v>
      </c>
      <c r="IZ14" s="161" t="s">
        <v>424</v>
      </c>
      <c r="JA14" s="831" t="s">
        <v>422</v>
      </c>
      <c r="JB14" s="161" t="s">
        <v>424</v>
      </c>
      <c r="JC14" s="161" t="s">
        <v>424</v>
      </c>
      <c r="JD14" s="161" t="s">
        <v>424</v>
      </c>
      <c r="JE14" s="161" t="s">
        <v>424</v>
      </c>
      <c r="JF14" s="161" t="s">
        <v>424</v>
      </c>
      <c r="JG14" s="161" t="s">
        <v>424</v>
      </c>
      <c r="JH14" s="161" t="s">
        <v>424</v>
      </c>
      <c r="JI14" s="161" t="s">
        <v>424</v>
      </c>
      <c r="JJ14" s="161" t="s">
        <v>424</v>
      </c>
      <c r="JK14" s="161" t="s">
        <v>424</v>
      </c>
      <c r="JL14" s="831" t="s">
        <v>422</v>
      </c>
      <c r="JM14" s="161" t="s">
        <v>424</v>
      </c>
      <c r="JN14" s="161" t="s">
        <v>424</v>
      </c>
      <c r="JO14" s="161" t="s">
        <v>424</v>
      </c>
      <c r="JP14" s="161" t="s">
        <v>424</v>
      </c>
      <c r="JQ14" s="161" t="s">
        <v>423</v>
      </c>
      <c r="JR14" s="831" t="s">
        <v>422</v>
      </c>
      <c r="JS14" s="161" t="s">
        <v>424</v>
      </c>
      <c r="JT14" s="161" t="s">
        <v>424</v>
      </c>
      <c r="JU14" s="161" t="s">
        <v>424</v>
      </c>
      <c r="JV14" s="161" t="s">
        <v>424</v>
      </c>
      <c r="JW14" s="161" t="s">
        <v>424</v>
      </c>
      <c r="JX14" s="161" t="s">
        <v>424</v>
      </c>
      <c r="JY14" s="161" t="s">
        <v>424</v>
      </c>
      <c r="JZ14" s="161" t="s">
        <v>424</v>
      </c>
      <c r="KA14" s="161" t="s">
        <v>424</v>
      </c>
      <c r="KB14" s="161" t="s">
        <v>424</v>
      </c>
      <c r="KC14" s="161" t="s">
        <v>423</v>
      </c>
      <c r="KD14" s="845" t="s">
        <v>424</v>
      </c>
      <c r="KE14" s="161" t="s">
        <v>424</v>
      </c>
      <c r="KF14" s="161" t="s">
        <v>424</v>
      </c>
      <c r="KG14" s="161" t="s">
        <v>424</v>
      </c>
      <c r="KH14" s="161" t="s">
        <v>423</v>
      </c>
      <c r="KI14" s="161" t="s">
        <v>421</v>
      </c>
      <c r="KJ14" s="161" t="s">
        <v>421</v>
      </c>
      <c r="KK14" s="161" t="s">
        <v>424</v>
      </c>
      <c r="KL14" s="161" t="s">
        <v>424</v>
      </c>
      <c r="KM14" s="161" t="s">
        <v>424</v>
      </c>
      <c r="KN14" s="161" t="s">
        <v>424</v>
      </c>
      <c r="KO14" s="161" t="s">
        <v>424</v>
      </c>
      <c r="KP14" s="161" t="s">
        <v>424</v>
      </c>
      <c r="KQ14" s="161" t="s">
        <v>424</v>
      </c>
      <c r="KR14" s="161" t="s">
        <v>423</v>
      </c>
      <c r="KS14" s="161" t="s">
        <v>424</v>
      </c>
      <c r="KT14" s="161" t="s">
        <v>424</v>
      </c>
      <c r="KU14" s="161" t="s">
        <v>424</v>
      </c>
      <c r="KV14" s="161" t="s">
        <v>424</v>
      </c>
      <c r="KW14" s="161" t="s">
        <v>424</v>
      </c>
      <c r="KX14" s="161" t="s">
        <v>424</v>
      </c>
      <c r="KY14" s="161" t="s">
        <v>424</v>
      </c>
      <c r="KZ14" s="161" t="s">
        <v>424</v>
      </c>
      <c r="LA14" s="161" t="s">
        <v>424</v>
      </c>
      <c r="LB14" s="161" t="s">
        <v>424</v>
      </c>
      <c r="LC14" s="161" t="s">
        <v>423</v>
      </c>
      <c r="LD14" s="161" t="s">
        <v>424</v>
      </c>
      <c r="LE14" s="161" t="s">
        <v>424</v>
      </c>
      <c r="LF14" s="161" t="s">
        <v>424</v>
      </c>
      <c r="LG14" s="161" t="s">
        <v>424</v>
      </c>
      <c r="LH14" s="161" t="s">
        <v>424</v>
      </c>
      <c r="LI14" s="832" t="s">
        <v>424</v>
      </c>
      <c r="LJ14" s="161" t="s">
        <v>424</v>
      </c>
      <c r="LK14" s="161" t="s">
        <v>424</v>
      </c>
      <c r="LL14" s="161" t="s">
        <v>424</v>
      </c>
      <c r="LM14" s="161" t="s">
        <v>424</v>
      </c>
      <c r="LN14" s="161" t="s">
        <v>424</v>
      </c>
      <c r="LO14" s="161" t="s">
        <v>424</v>
      </c>
      <c r="LP14" s="161" t="s">
        <v>424</v>
      </c>
      <c r="LQ14" s="161" t="s">
        <v>423</v>
      </c>
      <c r="LR14" s="161" t="s">
        <v>421</v>
      </c>
      <c r="LS14" s="161" t="s">
        <v>421</v>
      </c>
      <c r="LT14" s="161" t="s">
        <v>424</v>
      </c>
      <c r="LU14" s="161" t="s">
        <v>424</v>
      </c>
      <c r="LV14" s="161" t="s">
        <v>424</v>
      </c>
      <c r="LW14" s="161" t="s">
        <v>424</v>
      </c>
      <c r="LX14" s="161" t="s">
        <v>424</v>
      </c>
      <c r="LY14" s="161" t="s">
        <v>424</v>
      </c>
      <c r="LZ14" s="161" t="s">
        <v>424</v>
      </c>
      <c r="MA14" s="161" t="s">
        <v>423</v>
      </c>
      <c r="MB14" s="161" t="s">
        <v>424</v>
      </c>
      <c r="MC14" s="161" t="s">
        <v>424</v>
      </c>
      <c r="MD14" s="161" t="s">
        <v>424</v>
      </c>
      <c r="ME14" s="161" t="s">
        <v>424</v>
      </c>
      <c r="MF14" s="161" t="s">
        <v>424</v>
      </c>
      <c r="MG14" s="161" t="s">
        <v>424</v>
      </c>
      <c r="MH14" s="161" t="s">
        <v>424</v>
      </c>
      <c r="MI14" s="161" t="s">
        <v>424</v>
      </c>
      <c r="MJ14" s="161" t="s">
        <v>424</v>
      </c>
      <c r="MK14" s="161" t="s">
        <v>424</v>
      </c>
      <c r="ML14" s="161" t="s">
        <v>424</v>
      </c>
      <c r="MM14" s="161" t="s">
        <v>423</v>
      </c>
      <c r="MN14" s="832" t="s">
        <v>424</v>
      </c>
      <c r="MO14" s="846" t="s">
        <v>1897</v>
      </c>
      <c r="MP14" s="846" t="s">
        <v>1897</v>
      </c>
      <c r="MQ14" s="832" t="s">
        <v>421</v>
      </c>
      <c r="MR14" s="832" t="s">
        <v>421</v>
      </c>
      <c r="MS14" s="832" t="s">
        <v>421</v>
      </c>
      <c r="MT14" s="832" t="s">
        <v>421</v>
      </c>
      <c r="MU14" s="832" t="s">
        <v>421</v>
      </c>
      <c r="MV14" s="832" t="s">
        <v>421</v>
      </c>
      <c r="MW14" s="832" t="s">
        <v>421</v>
      </c>
      <c r="MX14" s="832" t="s">
        <v>421</v>
      </c>
      <c r="MY14" s="832" t="s">
        <v>421</v>
      </c>
      <c r="MZ14" s="846" t="s">
        <v>1897</v>
      </c>
      <c r="NA14" s="832" t="s">
        <v>421</v>
      </c>
      <c r="NB14" s="832" t="s">
        <v>421</v>
      </c>
      <c r="NC14" s="832" t="s">
        <v>421</v>
      </c>
      <c r="ND14" s="832" t="s">
        <v>421</v>
      </c>
      <c r="NE14" s="832" t="s">
        <v>421</v>
      </c>
      <c r="NF14" s="832" t="s">
        <v>421</v>
      </c>
      <c r="NG14" s="832" t="s">
        <v>421</v>
      </c>
      <c r="NH14" s="832" t="s">
        <v>421</v>
      </c>
      <c r="NI14" s="832" t="s">
        <v>421</v>
      </c>
      <c r="NJ14" s="846" t="s">
        <v>1897</v>
      </c>
      <c r="NK14" s="846" t="s">
        <v>421</v>
      </c>
      <c r="NL14" s="161" t="s">
        <v>421</v>
      </c>
      <c r="NM14" s="161" t="s">
        <v>424</v>
      </c>
      <c r="NN14" s="161" t="s">
        <v>424</v>
      </c>
      <c r="NO14" s="161" t="s">
        <v>424</v>
      </c>
      <c r="NP14" s="161" t="s">
        <v>424</v>
      </c>
      <c r="NQ14" s="161" t="s">
        <v>424</v>
      </c>
      <c r="NR14" s="161" t="s">
        <v>423</v>
      </c>
      <c r="NS14" s="161" t="s">
        <v>424</v>
      </c>
      <c r="NT14" s="161" t="s">
        <v>424</v>
      </c>
      <c r="NU14" s="161" t="s">
        <v>424</v>
      </c>
      <c r="NV14" s="161" t="s">
        <v>424</v>
      </c>
      <c r="NW14" s="161" t="s">
        <v>424</v>
      </c>
      <c r="NX14" s="161" t="s">
        <v>424</v>
      </c>
      <c r="NY14" s="161" t="s">
        <v>424</v>
      </c>
      <c r="NZ14" s="161" t="s">
        <v>424</v>
      </c>
      <c r="OA14" s="161" t="s">
        <v>423</v>
      </c>
      <c r="OB14" s="832" t="s">
        <v>423</v>
      </c>
    </row>
    <row r="15" spans="1:392" s="839" customFormat="1" ht="24" customHeight="1" x14ac:dyDescent="0.15">
      <c r="A15" s="850"/>
      <c r="B15" s="159" t="str">
        <f>はじめに!D3</f>
        <v>岡山県</v>
      </c>
      <c r="C15" s="159" t="str">
        <f>はじめに!D4</f>
        <v>真庭市</v>
      </c>
      <c r="D15" s="853"/>
      <c r="E15" s="159" t="str">
        <f>はじめに!D5</f>
        <v>真庭集落協定</v>
      </c>
      <c r="F15" s="896"/>
      <c r="G15" s="896">
        <f t="shared" ref="G15" si="46">IFERROR(D15*10000+F15,"")</f>
        <v>0</v>
      </c>
      <c r="H15" s="159" t="str">
        <f>はじめに!D7</f>
        <v>岡山県真庭市久世2927ｰ2</v>
      </c>
      <c r="I15" s="160">
        <f>別紙１①!E38</f>
        <v>7</v>
      </c>
      <c r="J15" s="896"/>
      <c r="K15" s="852">
        <f>M15+N15+O15+P15+Q15+R15+S15</f>
        <v>22</v>
      </c>
      <c r="L15" s="159">
        <f>別紙１④!A33</f>
        <v>4</v>
      </c>
      <c r="M15" s="159">
        <f>COUNTIF(別紙１③!H7:H33,"A")+COUNTIF(別紙１③!H7:H33,"B")</f>
        <v>9</v>
      </c>
      <c r="N15" s="159">
        <f>COUNTIF(別紙１③!H7:H33,"C")+COUNTIF(別紙１③!H7:H33,"D")+COUNTIF(別紙１③!H7:H33,"E")</f>
        <v>3</v>
      </c>
      <c r="O15" s="159">
        <f>COUNTIF(別紙１③!H7:H33,"F")+COUNTIF(別紙１③!H7:H33,"G")+COUNTIF(別紙１③!H7:H33,"H")+COUNTIF(別紙１③!H7:H33,"I")</f>
        <v>4</v>
      </c>
      <c r="P15" s="159">
        <f>COUNTIF(別紙１③!H7:H33,"J")</f>
        <v>1</v>
      </c>
      <c r="Q15" s="159">
        <f>COUNTIF(別紙１③!H7:H33,"K")</f>
        <v>1</v>
      </c>
      <c r="R15" s="159">
        <f>COUNTIF(別紙１③!H7:H33,"L")</f>
        <v>2</v>
      </c>
      <c r="S15" s="159">
        <f>COUNTIF(別紙１③!H7:H33,"M")</f>
        <v>2</v>
      </c>
      <c r="T15" s="851">
        <f t="shared" ref="T15" si="47">U15+V15+W15+X15+Y15+Z15+AA15+AB15+AC15+AD15</f>
        <v>10</v>
      </c>
      <c r="U15" s="159">
        <f>COUNTIF(別紙１③!I7:I33,"ア")</f>
        <v>1</v>
      </c>
      <c r="V15" s="159">
        <f>COUNTIF(別紙１③!I7:I33,"イ")</f>
        <v>2</v>
      </c>
      <c r="W15" s="159">
        <f>COUNTIF(別紙１③!I7:I33,"ウ")</f>
        <v>1</v>
      </c>
      <c r="X15" s="159">
        <f>COUNTIF(別紙１③!I7:I33,"エ")</f>
        <v>1</v>
      </c>
      <c r="Y15" s="159">
        <f>COUNTIF(別紙１③!I7:I33,"オ")</f>
        <v>0</v>
      </c>
      <c r="Z15" s="159">
        <f>COUNTIF(別紙１③!I7:I33,"カ")</f>
        <v>2</v>
      </c>
      <c r="AA15" s="159">
        <f>COUNTIF(別紙１③!I7:I33,"キ")</f>
        <v>2</v>
      </c>
      <c r="AB15" s="159">
        <f>COUNTIF(別紙１③!I7:I33,"ク")</f>
        <v>0</v>
      </c>
      <c r="AC15" s="159">
        <f>COUNTIF(別紙１③!I7:I33,"ケ")</f>
        <v>1</v>
      </c>
      <c r="AD15" s="159">
        <f>COUNTIF(別紙１③!I7:I33,"コ")</f>
        <v>0</v>
      </c>
      <c r="AE15" s="852" t="str">
        <f>IF(CM15*BI15&gt;0,"通特併存",IF(BI15&lt;&gt;0,"通常",IF(CM15&lt;&gt;0,"特認",IF(CM15*BI15=0,""))))</f>
        <v>通常</v>
      </c>
      <c r="AF15" s="858">
        <f>AG15+AN15+AU15+BC15</f>
        <v>10535</v>
      </c>
      <c r="AG15" s="858">
        <f t="shared" ref="AG15" si="48">AH15+AI15+AJ15+AK15+AL15+AM15</f>
        <v>2355</v>
      </c>
      <c r="AH15" s="858">
        <f t="shared" ref="AH15:AM15" si="49">BK15+CO15</f>
        <v>946</v>
      </c>
      <c r="AI15" s="858">
        <f t="shared" si="49"/>
        <v>1409</v>
      </c>
      <c r="AJ15" s="858">
        <f>BM15+CQ15</f>
        <v>0</v>
      </c>
      <c r="AK15" s="858">
        <f t="shared" si="49"/>
        <v>0</v>
      </c>
      <c r="AL15" s="858">
        <f t="shared" si="49"/>
        <v>0</v>
      </c>
      <c r="AM15" s="858">
        <f t="shared" si="49"/>
        <v>0</v>
      </c>
      <c r="AN15" s="858">
        <f t="shared" ref="AN15" si="50">AO15+AP15+AQ15+AR15+AS15+AT15</f>
        <v>8180</v>
      </c>
      <c r="AO15" s="858">
        <f t="shared" ref="AO15:AT15" si="51">BR15+CV15</f>
        <v>1840</v>
      </c>
      <c r="AP15" s="858">
        <f t="shared" si="51"/>
        <v>6340</v>
      </c>
      <c r="AQ15" s="858">
        <f t="shared" si="51"/>
        <v>0</v>
      </c>
      <c r="AR15" s="858">
        <f t="shared" si="51"/>
        <v>0</v>
      </c>
      <c r="AS15" s="858">
        <f t="shared" si="51"/>
        <v>0</v>
      </c>
      <c r="AT15" s="858">
        <f t="shared" si="51"/>
        <v>0</v>
      </c>
      <c r="AU15" s="858">
        <f t="shared" ref="AU15" si="52">AV15+AW15+AX15+AY15+AZ15+BA15+BB15</f>
        <v>0</v>
      </c>
      <c r="AV15" s="858">
        <f t="shared" ref="AV15:BB15" si="53">BY15+DC15</f>
        <v>0</v>
      </c>
      <c r="AW15" s="858">
        <f t="shared" si="53"/>
        <v>0</v>
      </c>
      <c r="AX15" s="858">
        <f t="shared" si="53"/>
        <v>0</v>
      </c>
      <c r="AY15" s="858">
        <f t="shared" si="53"/>
        <v>0</v>
      </c>
      <c r="AZ15" s="858">
        <f t="shared" si="53"/>
        <v>0</v>
      </c>
      <c r="BA15" s="858">
        <f t="shared" si="53"/>
        <v>0</v>
      </c>
      <c r="BB15" s="858">
        <f t="shared" si="53"/>
        <v>0</v>
      </c>
      <c r="BC15" s="858">
        <f t="shared" ref="BC15" si="54">BD15+BE15+BF15+BG15+BH15</f>
        <v>0</v>
      </c>
      <c r="BD15" s="858">
        <f t="shared" ref="BD15:BH15" si="55">CG15+DK15</f>
        <v>0</v>
      </c>
      <c r="BE15" s="858">
        <f t="shared" si="55"/>
        <v>0</v>
      </c>
      <c r="BF15" s="858">
        <f t="shared" si="55"/>
        <v>0</v>
      </c>
      <c r="BG15" s="858">
        <f t="shared" si="55"/>
        <v>0</v>
      </c>
      <c r="BH15" s="859">
        <f t="shared" si="55"/>
        <v>0</v>
      </c>
      <c r="BI15" s="858">
        <f t="shared" ref="BI15" si="56">BJ15+BQ15+BX15+CF15</f>
        <v>10535</v>
      </c>
      <c r="BJ15" s="858">
        <f t="shared" ref="BJ15" si="57">BK15+BL15+BM15+BN15+BO15+BP15</f>
        <v>2355</v>
      </c>
      <c r="BK15" s="162">
        <f>SUMIFS(別紙２①!$F18:$F29,別紙２①!$A18:$A29,"通常地域（8法内）",別紙２①!$E18:$E29,"田",別紙２①!$G18:$G29,"急傾斜")+SUMIFS(別紙２①!$F18:$F29,別紙２①!$A18:$A29,"通常地域（8法以外で棚田法の交付対象農用地）",別紙２①!$E18:$E29,"田",別紙２①!$G18:$G29,"急傾斜")</f>
        <v>946</v>
      </c>
      <c r="BL15" s="162">
        <f>SUMIFS(別紙２①!$F18:$F29,別紙２①!$A18:$A29,"通常地域（8法内）",別紙２①!$E18:$E29,"田",別紙２①!$G18:$G29,"緩傾斜")+SUMIFS(別紙２①!$F18:$F29,別紙２①!$A18:$A29,"通常地域（8法以外で棚田法の交付対象農用地）",別紙２①!$E18:$E29,"田",別紙２①!$G18:$G29,"緩傾斜")</f>
        <v>1409</v>
      </c>
      <c r="BM15" s="162">
        <f>SUMIFS(別紙２①!$F18:$F29,別紙２①!$A18:$A29,"通常地域（8法内）",別紙２①!$E18:$E29,"田",別紙２①!$G18:$G29,"高齢化・耕作放棄率")+SUMIFS(別紙２①!$F18:$F29,別紙２①!$A18:$A29,"通常地域（8法以外で棚田法の交付対象農用地）",別紙２①!$E18:$E29,"田",別紙２①!$G18:$G29,"高齢化・耕作放棄率")</f>
        <v>0</v>
      </c>
      <c r="BN15" s="162">
        <f>SUMIFS(別紙２①!$F18:$F29,別紙２①!$A18:$A29,"通常地域（8法内）",別紙２①!$E18:$E29,"田",別紙２①!$G18:$G29,"小区画・不整形")+SUMIFS(別紙２①!$F18:$F29,別紙２①!$A18:$A29,"通常地域（8法以外で棚田法の交付対象農用地）",別紙２①!$E18:$E29,"田",別紙２①!$G18:$G29,"小区画・不整形")</f>
        <v>0</v>
      </c>
      <c r="BO15" s="162">
        <f>SUMIFS(別紙２①!$F18:$F29,別紙２①!$A18:$A29,"通常地域（8法内）",別紙２①!$E18:$E29,"田",別紙２①!$G18:$G29,"特認基準")+SUMIFS(別紙２①!$F18:$F29,別紙２①!$A18:$A29,"通常地域（8法以外で棚田法の交付対象農用地）",別紙２①!$E18:$E29,"田",別紙２①!$G18:$G29,"特認基準")</f>
        <v>0</v>
      </c>
      <c r="BP15" s="162">
        <f>SUMIFS(別紙２①!$F18:$F29,別紙２①!$A18:$A29,"通常地域（8法内）",別紙２①!$E18:$E29,"田",別紙２①!$G18:$G29,"交付対象外")+SUMIFS(別紙２①!$F18:$F29,別紙２①!$A18:$A29,"通常地域（8法以外で棚田法の交付対象農用地）",別紙２①!$E18:$E29,"田",別紙２①!$G18:$G29,"交付対象外")</f>
        <v>0</v>
      </c>
      <c r="BQ15" s="858">
        <f>BR15+BS15+BT15+BU15+BV15+BW15</f>
        <v>8180</v>
      </c>
      <c r="BR15" s="162">
        <f>SUMIFS(別紙２①!$F18:$F29,別紙２①!$A18:$A29,"通常地域（8法内）",別紙２①!$E18:$E29,"畑",別紙２①!$G18:$G29,"急傾斜")+SUMIFS(別紙２①!$F18:$F29,別紙２①!$A18:$A29,"通常地域（8法以外で棚田法の交付対象農用地）",別紙２①!$E18:$E29,"畑",別紙２①!$G18:$G29,"急傾斜")</f>
        <v>1840</v>
      </c>
      <c r="BS15" s="162">
        <f>SUMIFS(別紙２①!$F18:$F29,別紙２①!$A18:$A29,"通常地域（8法内）",別紙２①!$E18:$E29,"畑",別紙２①!$G18:$G29,"緩傾斜")+SUMIFS(別紙２①!$F18:$F29,別紙２①!$A18:$A29,"通常地域（8法以外で棚田法の交付対象農用地）",別紙２①!$E18:$E29,"畑",別紙２①!$G18:$G29,"緩傾斜")</f>
        <v>6340</v>
      </c>
      <c r="BT15" s="162">
        <f>SUMIFS(別紙２①!$F18:$F29,別紙２①!$A18:$A29,"通常地域（8法内）",別紙２①!$E18:$E29,"畑",別紙２①!$G18:$G29,"高齢化・耕作放棄率")+SUMIFS(別紙２①!$F18:$F29,別紙２①!$A18:$A29,"通常地域（8法以外で棚田法の交付対象農用地）",別紙２①!$E18:$E29,"畑",別紙２①!$G18:$G29,"高齢化・耕作放棄率")</f>
        <v>0</v>
      </c>
      <c r="BU15" s="162">
        <f>SUMIFS(別紙２①!$F18:$F29,別紙２①!$A18:$A29,"通常地域（8法内）",別紙２①!$E18:$E29,"畑",別紙２①!$G18:$G29,"特認基準")+SUMIFS(別紙２①!$F18:$F29,別紙２①!$A18:$A29,"通常地域（8法以外で棚田法の交付対象農用地）",別紙２①!$E18:$E29,"畑",別紙２①!$G18:$G29,"特認基準")</f>
        <v>0</v>
      </c>
      <c r="BV15" s="162">
        <f>SUMIFS(別紙２①!$F18:$F29,別紙２①!$A18:$A29,"通常地域（8法内）",別紙２①!$E18:$E29,"畑",別紙２①!$G18:$G29,"交付対象外（田畑混在地）")+SUMIFS(別紙２①!$F18:$F29,別紙２①!$A18:$A29,"通常地域（8法以外で棚田法の交付対象農用地）",別紙２①!$E18:$E29,"畑",別紙２①!$G18:$G29,"交付対象外（田畑混在地）")</f>
        <v>0</v>
      </c>
      <c r="BW15" s="162">
        <f>SUMIFS(別紙２①!$F18:$F29,別紙２①!$A18:$A29,"通常地域（8法内）",別紙２①!$E18:$E29,"畑",別紙２①!$G18:$G29,"交付対象外（田畑混在地以外）")+SUMIFS(別紙２①!$F18:$F29,別紙２①!$A18:$A29,"通常地域（8法以外で棚田法の交付対象農用地）",別紙２①!$E18:$E29,"畑",別紙２①!$G18:$G29,"交付対象外（田畑混在地以外）")</f>
        <v>0</v>
      </c>
      <c r="BX15" s="858">
        <f>BY15+BZ15+CA15+CB15+CC15+CD15+CE15</f>
        <v>0</v>
      </c>
      <c r="BY15" s="162">
        <f>SUMIFS(別紙２①!$F18:$F29,別紙２①!$A18:$A29,"通常地域（8法内）",別紙２①!$E18:$E29,"草地",別紙２①!$G18:$G29,"急傾斜")+SUMIFS(別紙２①!$F18:$F29,別紙２①!$A18:$A29,"通常地域（8法以外で棚田法の交付対象農用地）",別紙２①!$E18:$E29,"草地",別紙２①!$G18:$G29,"急傾斜")</f>
        <v>0</v>
      </c>
      <c r="BZ15" s="162">
        <f>SUMIFS(別紙２①!$F18:$F29,別紙２①!$A18:$A29,"通常地域（8法内）",別紙２①!$E18:$E29,"草地",別紙２①!$G18:$G29,"緩傾斜")+SUMIFS(別紙２①!$F18:$F29,別紙２①!$A18:$A29,"通常地域（8法以外で棚田法の交付対象農用地）",別紙２①!$E18:$E29,"草地",別紙２①!$G18:$G29,"緩傾斜")</f>
        <v>0</v>
      </c>
      <c r="CA15" s="162">
        <f>SUMIFS(別紙２①!$F18:$F29,別紙２①!$A18:$A29,"通常地域（8法内）",別紙２①!$E18:$E29,"草地",別紙２①!$G18:$G29,"草地比率の高い草地")+SUMIFS(別紙２①!$F18:$F29,別紙２①!$A18:$A29,"通常地域（8法以外で棚田法の交付対象農用地）",別紙２①!$E18:$E29,"草地",別紙２①!$G18:$G29,"草地比率の高い草地")</f>
        <v>0</v>
      </c>
      <c r="CB15" s="162">
        <f>SUMIFS(別紙２①!$F18:$F29,別紙２①!$A18:$A29,"通常地域（8法内）",別紙２①!$E18:$E29,"草地",別紙２①!$G18:$G29,"高齢化・耕作放棄率")+SUMIFS(別紙２①!$F18:$F29,別紙２①!$A18:$A29,"通常地域（8法以外で棚田法の交付対象農用地）",別紙２①!$E18:$E29,"草地",別紙２①!$G18:$G29,"高齢化・耕作放棄率")</f>
        <v>0</v>
      </c>
      <c r="CC15" s="162">
        <f>SUMIFS(別紙２①!$F18:$F29,別紙２①!$A18:$A29,"通常地域（8法内）",別紙２①!$E18:$E29,"草地",別紙２①!$G18:$G29,"特認基準")+SUMIFS(別紙２①!$F18:$F29,別紙２①!$A18:$A29,"通常地域（8法以外で棚田法の交付対象農用地）",別紙２①!$E18:$E29,"草地",別紙２①!$G18:$G29,"特認基準")</f>
        <v>0</v>
      </c>
      <c r="CD15" s="162">
        <f>SUMIFS(別紙２①!$F18:$F29,別紙２①!$A18:$A29,"通常地域（8法内）",別紙２①!$E18:$E29,"草地",別紙２①!$G18:$G29,"交付対象外（田草地混在地）")+SUMIFS(別紙２①!$F18:$F29,別紙２①!$A18:$A29,"通常地域（8法以外で棚田法の交付対象農用地）",別紙２①!$E18:$E29,"草地",別紙２①!$G18:$G29,"交付対象外（田草地混在地）")</f>
        <v>0</v>
      </c>
      <c r="CE15" s="162">
        <f>SUMIFS(別紙２①!$F18:$F29,別紙２①!$A18:$A29,"通常地域（8法内）",別紙２①!$E18:$E29,"草地",別紙２①!$G18:$G29,"交付対象外（田草地混在地以外）")+SUMIFS(別紙２①!$F18:$F29,別紙２①!$A18:$A29,"通常地域（8法以外で棚田法の交付対象農用地）",別紙２①!$E18:$E29,"草地",別紙２①!$G18:$G29,"交付対象外（田草地混在地以外）")</f>
        <v>0</v>
      </c>
      <c r="CF15" s="858">
        <f>CG15+CH15+CI15+CJ15+CK15</f>
        <v>0</v>
      </c>
      <c r="CG15" s="162">
        <f>SUMIFS(別紙２①!$F18:$F29,別紙２①!$A18:$A29,"通常地域（8法内）",別紙２①!$E18:$E29,"採草放牧地",別紙２①!$G18:$G29,"急傾斜")+SUMIFS(別紙２①!$F18:$F29,別紙２①!$A18:$A29,"通常地域（8法以外で棚田法の交付対象農用地）",別紙２①!$E18:$E29,"採草放牧地",別紙２①!$G18:$G29,"急傾斜")</f>
        <v>0</v>
      </c>
      <c r="CH15" s="162">
        <f>SUMIFS(別紙２①!$F18:$F29,別紙２①!$A18:$A29,"通常地域（8法内）",別紙２①!$E18:$E29,"採草放牧地",別紙２①!$G18:$G29,"緩傾斜")+SUMIFS(別紙２①!$F18:$F29,別紙２①!$A18:$A29,"通常地域（8法以外で棚田法の交付対象農用地）",別紙２①!$E18:$E29,"採草放牧地",別紙２①!$G18:$G29,"緩傾斜")</f>
        <v>0</v>
      </c>
      <c r="CI15" s="162">
        <f>SUMIFS(別紙２①!$F18:$F29,別紙２①!$A18:$A29,"通常地域（8法内）",別紙２①!$E18:$E29,"採草放牧地",別紙２①!$G18:$G29,"特認基準")+SUMIFS(別紙２①!$F18:$F29,別紙２①!$A18:$A29,"通常地域（8法以外で棚田法の交付対象農用地）",別紙２①!$E18:$E29,"採草放牧地",別紙２①!$G18:$G29,"特認基準")</f>
        <v>0</v>
      </c>
      <c r="CJ15" s="162">
        <f>SUMIFS(別紙２①!$F18:$F29,別紙２①!$A18:$A29,"通常地域（8法内）",別紙２①!$E18:$E29,"採草放牧地",別紙２①!$G18:$G29,"交付対象外（田採草放牧地混在地）")+SUMIFS(別紙２①!$F18:$F29,別紙２①!$A18:$A29,"通常地域（8法以外で棚田法の交付対象農用地）",別紙２①!$E18:$E29,"採草放牧地",別紙２①!$G18:$G29,"交付対象外（田採草放牧地混在地）")</f>
        <v>0</v>
      </c>
      <c r="CK15" s="162">
        <f>SUMIFS(別紙２①!$F18:$F29,別紙２①!$A18:$A29,"通常地域（8法内）",別紙２①!$E18:$E29,"採草放牧地",別紙２①!$G18:$G29,"交付対象外（田採草放牧地混在地以外）")+SUMIFS(別紙２①!$F18:$F29,別紙２①!$A18:$A29,"通常地域（8法以外で棚田法の交付対象農用地）",別紙２①!$E18:$E29,"採草放牧地",別紙２①!$G18:$G29,"交付対象外（田採草放牧地混在地以外）")</f>
        <v>0</v>
      </c>
      <c r="CL15" s="855"/>
      <c r="CM15" s="858">
        <f t="shared" ref="CM15" si="58">CN15+CU15+DB15+DJ15</f>
        <v>0</v>
      </c>
      <c r="CN15" s="858">
        <f t="shared" ref="CN15" si="59">CO15+CP15+CQ15+CR15+CS15+CT15</f>
        <v>0</v>
      </c>
      <c r="CO15" s="162">
        <f>SUMIFS(別紙２①!$F18:$F29,別紙２①!$A18:$A29,"特認地域",別紙２①!$E18:$E29,"田",別紙２①!$G18:$G29,"急傾斜")</f>
        <v>0</v>
      </c>
      <c r="CP15" s="162">
        <f>SUMIFS(別紙２①!$F18:$F29,別紙２①!$A18:$A29,"特認地域",別紙２①!$E18:$E29,"田",別紙２①!$G18:$G29,"緩傾斜")</f>
        <v>0</v>
      </c>
      <c r="CQ15" s="162">
        <f>SUMIFS(別紙２①!$F18:$F29,別紙２①!$A18:$A29,"特認地域",別紙２①!$E18:$E29,"田",別紙２①!$G18:$G29,"高齢化・耕作放棄率")</f>
        <v>0</v>
      </c>
      <c r="CR15" s="162">
        <f>SUMIFS(別紙２①!$F18:$F29,別紙２①!$A18:$A29,"特認地域",別紙２①!$E18:$E29,"田",別紙２①!$G18:$G29,"小区画・不整形")</f>
        <v>0</v>
      </c>
      <c r="CS15" s="162">
        <f>SUMIFS(別紙２①!$F18:$F29,別紙２①!$A18:$A29,"特認地域",別紙２①!$E18:$E29,"田",別紙２①!$G18:$G29,"特認基準")</f>
        <v>0</v>
      </c>
      <c r="CT15" s="162">
        <f>SUMIFS(別紙２①!$F18:$F29,別紙２①!$A18:$A29,"特認地域",別紙２①!$E18:$E29,"田",別紙２①!$G18:$G29,"交付対象外")</f>
        <v>0</v>
      </c>
      <c r="CU15" s="858">
        <f t="shared" ref="CU15" si="60">CV15+CW15+CX15+CY15+CZ15+DA15</f>
        <v>0</v>
      </c>
      <c r="CV15" s="162">
        <f>SUMIFS(別紙２①!$F18:$F29,別紙２①!$A18:$A29,"特認地域",別紙２①!$E18:$E29,"畑",別紙２①!$G18:$G29,"急傾斜")</f>
        <v>0</v>
      </c>
      <c r="CW15" s="162">
        <f>SUMIFS(別紙２①!$F18:$F29,別紙２①!$A18:$A29,"特認地域",別紙２①!$E18:$E29,"畑",別紙２①!$G18:$G29,"緩傾斜")</f>
        <v>0</v>
      </c>
      <c r="CX15" s="162">
        <f>SUMIFS(別紙２①!$F18:$F29,別紙２①!$A18:$A29,"特認地域",別紙２①!$E18:$E29,"畑",別紙２①!$G18:$G29,"高齢化・耕作放棄率")</f>
        <v>0</v>
      </c>
      <c r="CY15" s="162">
        <f>SUMIFS(別紙２①!$F18:$F29,別紙２①!$A18:$A29,"特認地域",別紙２①!$E18:$E29,"畑",別紙２①!$G18:$G29,"特認基準")</f>
        <v>0</v>
      </c>
      <c r="CZ15" s="162">
        <f>SUMIFS(別紙２①!$F18:$F29,別紙２①!$A18:$A29,"特認地域",別紙２①!$E18:$E29,"畑",別紙２①!$G18:$G29,"交付対象外（田畑混在地）")</f>
        <v>0</v>
      </c>
      <c r="DA15" s="162">
        <f>SUMIFS(別紙２①!$F18:$F29,別紙２①!$A18:$A29,"特認地域",別紙２①!$E18:$E29,"畑",別紙２①!$G18:$G29,"交付対象外（田畑混在地以外）")</f>
        <v>0</v>
      </c>
      <c r="DB15" s="858">
        <f t="shared" ref="DB15" si="61">DC15+DD15+DE15+DF15+DG15+DH15+DI15</f>
        <v>0</v>
      </c>
      <c r="DC15" s="162">
        <f>SUMIFS(別紙２①!$F18:$F29,別紙２①!$A18:$A29,"特認地域",別紙２①!$E18:$E29,"草地",別紙２①!$G18:$G29,"急傾斜")</f>
        <v>0</v>
      </c>
      <c r="DD15" s="162">
        <f>SUMIFS(別紙２①!$F18:$F29,別紙２①!$A18:$A29,"特認地域",別紙２①!$E18:$E29,"草地",別紙２①!$G18:$G29,"緩傾斜")</f>
        <v>0</v>
      </c>
      <c r="DE15" s="162">
        <f>SUMIFS(別紙２①!$F18:$F29,別紙２①!$A18:$A29,"特認地域",別紙２①!$E18:$E29,"草地",別紙２①!$G18:$G29,"草地比率の高い草地")</f>
        <v>0</v>
      </c>
      <c r="DF15" s="162">
        <f>SUMIFS(別紙２①!$F18:$F29,別紙２①!$A18:$A29,"特認地域",別紙２①!$E18:$E29,"草地",別紙２①!$G18:$G29,"高齢化・耕作放棄率")</f>
        <v>0</v>
      </c>
      <c r="DG15" s="162">
        <f>SUMIFS(別紙２①!$F18:$F29,別紙２①!$A18:$A29,"特認地域",別紙２①!$E18:$E29,"草地",別紙２①!$G18:$G29,"特認基準")</f>
        <v>0</v>
      </c>
      <c r="DH15" s="162">
        <f>SUMIFS(別紙２①!$F18:$F29,別紙２①!$A18:$A29,"特認地域",別紙２①!$E18:$E29,"草地",別紙２①!$G18:$G29,"交付対象外（田草地混在地）")</f>
        <v>0</v>
      </c>
      <c r="DI15" s="162">
        <f>SUMIFS(別紙２①!$F18:$F29,別紙２①!$A18:$A29,"特認地域",別紙２①!$E18:$E29,"草地",別紙２①!$G18:$G29,"交付対象外（田草地混在地以外）")</f>
        <v>0</v>
      </c>
      <c r="DJ15" s="858">
        <f t="shared" ref="DJ15" si="62">DK15+DL15+DM15+DN15+DO15</f>
        <v>0</v>
      </c>
      <c r="DK15" s="162">
        <f>SUMIFS(別紙２①!$F18:$F29,別紙２①!$A18:$A29,"特認地域",別紙２①!$E18:$E29,"採草放牧地",別紙２①!$G18:$G29,"急傾斜")</f>
        <v>0</v>
      </c>
      <c r="DL15" s="162">
        <f>SUMIFS(別紙２①!$F18:$F29,別紙２①!$A18:$A29,"特認地域",別紙２①!$E18:$E29,"採草放牧地",別紙２①!$G18:$G29,"緩傾斜")</f>
        <v>0</v>
      </c>
      <c r="DM15" s="162">
        <f>SUMIFS(別紙２①!$F18:$F29,別紙２①!$A18:$A29,"特認地域",別紙２①!$E18:$E29,"採草放牧地",別紙２①!$G18:$G29,"特認基準")</f>
        <v>0</v>
      </c>
      <c r="DN15" s="164">
        <f>SUMIFS(別紙２①!$F18:$F29,別紙２①!$A18:$A29,"特認地域",別紙２①!$E18:$E29,"採草放牧地",別紙２①!$G18:$G29,"交付対象外（田採草放牧地混在地）")</f>
        <v>0</v>
      </c>
      <c r="DO15" s="164">
        <f>SUMIFS(別紙２①!$F18:$F29,別紙２①!$A18:$A29,"特認地域",別紙２①!$E18:$E29,"採草放牧地",別紙２①!$G18:$G29,"交付対象外（田採草放牧地混在地以外）")</f>
        <v>0</v>
      </c>
      <c r="DP15" s="164">
        <f>別紙１④!I63+別紙１④!N63+別紙１④!S63+別紙１④!X63</f>
        <v>74488</v>
      </c>
      <c r="DQ15" s="899"/>
      <c r="DR15" s="876">
        <f>DS15+DX15+DY15+DZ15+EA15+EB15</f>
        <v>0</v>
      </c>
      <c r="DS15" s="888">
        <f>DT15+DU15+DV15</f>
        <v>0</v>
      </c>
      <c r="DT15" s="860"/>
      <c r="DU15" s="860"/>
      <c r="DV15" s="860"/>
      <c r="DW15" s="860"/>
      <c r="DX15" s="860"/>
      <c r="DY15" s="860"/>
      <c r="DZ15" s="860"/>
      <c r="EA15" s="860"/>
      <c r="EB15" s="860"/>
      <c r="EC15" s="862">
        <f>EE15+EF15+EG15</f>
        <v>0</v>
      </c>
      <c r="ED15" s="861"/>
      <c r="EE15" s="166">
        <f>SUMIFS(別紙２①!$F18:$F29,別紙２①!$P18:$P29,"荒廃農地",別紙２①!$Q18:$Q29,"復旧",別紙２①!$E18:$E29,"田")</f>
        <v>0</v>
      </c>
      <c r="EF15" s="166">
        <f>SUMIFS(別紙２①!$F18:$F29,別紙２①!$P18:$P29,"荒廃農地",別紙２①!$Q18:$Q29,"復旧",別紙２①!$E18:$E29,"畑")</f>
        <v>0</v>
      </c>
      <c r="EG15" s="166">
        <f>SUMIFS(別紙２①!$F18:$F29,別紙２①!$P18:$P29,"荒廃農地",別紙２①!$Q18:$Q29,"復旧",別紙２①!$E18:$E29,"草地")</f>
        <v>0</v>
      </c>
      <c r="EH15" s="166">
        <f>SUMIFS(別紙２①!$F18:$F29,別紙２①!$P18:$P29,"被災地",別紙２①!$Q18:$Q29,"復旧")</f>
        <v>0</v>
      </c>
      <c r="EI15" s="861"/>
      <c r="EJ15" s="166">
        <f>SUMIFS(別紙２①!$F18:$F29,別紙２①!$G18:$G29,"協定に含めない管理すべき農用地")</f>
        <v>0</v>
      </c>
      <c r="EK15" s="858">
        <f t="shared" ref="EK15" si="63">IF(SUM(EM15:EN15)&gt;0,1,0)</f>
        <v>0</v>
      </c>
      <c r="EL15" s="858">
        <f t="shared" ref="EL15" si="64">EM15+EN15</f>
        <v>0</v>
      </c>
      <c r="EM15" s="162">
        <f>別紙１④!B71</f>
        <v>0</v>
      </c>
      <c r="EN15" s="162">
        <f>別紙１④!E71</f>
        <v>0</v>
      </c>
      <c r="EO15" s="162">
        <f>別紙１④!P71</f>
        <v>0</v>
      </c>
      <c r="EP15" s="895"/>
      <c r="EQ15" s="858">
        <f>IF(SUM(ES15:ET15)&gt;0,1,0)</f>
        <v>0</v>
      </c>
      <c r="ER15" s="858">
        <f t="shared" ref="ER15" si="65">ES15+ET15</f>
        <v>0</v>
      </c>
      <c r="ES15" s="162">
        <f>別紙１④!H72</f>
        <v>0</v>
      </c>
      <c r="ET15" s="162">
        <f>別紙１④!J72</f>
        <v>0</v>
      </c>
      <c r="EU15" s="162">
        <f>別紙１④!P72</f>
        <v>0</v>
      </c>
      <c r="EV15" s="895"/>
      <c r="EW15" s="167" t="str">
        <f>別紙１④!S256</f>
        <v>[ア　棚田等の保全]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v>
      </c>
      <c r="EX15" s="168">
        <f>別紙１④!J258</f>
        <v>11</v>
      </c>
      <c r="EY15" s="889"/>
      <c r="EZ15" s="167" t="str">
        <f>別紙１④!S260</f>
        <v>[イ　棚田等の保全を通じた多面にわたる機能の維持・発揮]
例) 【生産性向上】食味基準を設ける等により品質向上を図り棚田米の販売量/額を〇t /円 から〇t /円に増加させる。</v>
      </c>
      <c r="FA15" s="168">
        <f>別紙１④!J258</f>
        <v>11</v>
      </c>
      <c r="FB15" s="889"/>
      <c r="FC15" s="167" t="str">
        <f>別紙１④!S261</f>
        <v>[ウ　棚田を核とした棚田地域の振興]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v>
      </c>
      <c r="FD15" s="168">
        <f>別紙１④!J258</f>
        <v>11</v>
      </c>
      <c r="FE15" s="889"/>
      <c r="FF15" s="856">
        <f t="shared" ref="FF15" si="66">IF(SUM(FH15:FI15)&gt;0,1,0)</f>
        <v>1</v>
      </c>
      <c r="FG15" s="856">
        <f t="shared" ref="FG15" si="67">FH15+FI15</f>
        <v>10535</v>
      </c>
      <c r="FH15" s="162">
        <f>別紙１④!B80</f>
        <v>2355</v>
      </c>
      <c r="FI15" s="162">
        <f>別紙１④!E80</f>
        <v>8180</v>
      </c>
      <c r="FJ15" s="162">
        <f>別紙１④!S80</f>
        <v>63210</v>
      </c>
      <c r="FK15" s="895"/>
      <c r="FL15" s="155"/>
      <c r="FM15" s="155"/>
      <c r="FN15" s="155"/>
      <c r="FO15" s="155"/>
      <c r="FP15" s="155"/>
      <c r="FQ15" s="155"/>
      <c r="FR15" s="155"/>
      <c r="FS15" s="155"/>
      <c r="FT15" s="155"/>
      <c r="FU15" s="70"/>
      <c r="FV15" s="155"/>
      <c r="FW15" s="155"/>
      <c r="FX15" s="155"/>
      <c r="FY15" s="155"/>
      <c r="FZ15" s="155"/>
      <c r="GA15" s="155"/>
      <c r="GB15" s="155"/>
      <c r="GC15" s="155"/>
      <c r="GD15" s="155"/>
      <c r="GE15" s="155"/>
      <c r="GF15" s="155"/>
      <c r="GG15" s="70"/>
      <c r="GH15" s="856">
        <f>IF(GI15&gt;0,1,0)</f>
        <v>1</v>
      </c>
      <c r="GI15" s="162">
        <f>別紙１④!B88+別紙１④!D88+別紙１④!F88+別紙１④!I88+別紙１④!B89+別紙１④!D89+別紙１④!F89+別紙１④!I89</f>
        <v>100000</v>
      </c>
      <c r="GJ15" s="162">
        <f>別紙１④!S88</f>
        <v>1000000</v>
      </c>
      <c r="GK15" s="895"/>
      <c r="GL15" s="166">
        <f>COUNTIFS(別紙１④!$B$97:$F$101,"&lt;&gt;")</f>
        <v>2</v>
      </c>
      <c r="GM15" s="166">
        <f>COUNTIFS(別紙１④!$H$97:$J$101,"&lt;&gt;")</f>
        <v>0</v>
      </c>
      <c r="GN15" s="872">
        <f t="shared" ref="GN15" si="68">GO15+GP15</f>
        <v>0</v>
      </c>
      <c r="GO15" s="70"/>
      <c r="GP15" s="70"/>
      <c r="GQ15" s="872">
        <f>SUM(GR15:GT15)</f>
        <v>0</v>
      </c>
      <c r="GR15" s="156"/>
      <c r="GS15" s="156"/>
      <c r="GT15" s="156"/>
      <c r="GU15" s="169" t="str">
        <f>別紙１④!S266</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168">
        <f>別紙１④!J268</f>
        <v>11</v>
      </c>
      <c r="GW15" s="889"/>
      <c r="GX15" s="863">
        <f t="shared" ref="GX15" si="69">IF(GY15&gt;0,1,0)</f>
        <v>1</v>
      </c>
      <c r="GY15" s="166">
        <f>別紙１④!B110+別紙１④!D110+別紙１④!F110+別紙１④!I110</f>
        <v>10535</v>
      </c>
      <c r="GZ15" s="166">
        <f>別紙１④!P110</f>
        <v>52675</v>
      </c>
      <c r="HA15" s="895"/>
      <c r="HB15" s="169" t="str">
        <f>別紙１④!S270</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168">
        <f>別紙１④!J272</f>
        <v>11</v>
      </c>
      <c r="HD15" s="889"/>
      <c r="HE15" s="863">
        <f t="shared" ref="HE15" si="70">IF(HF15&gt;0,1,0)</f>
        <v>1</v>
      </c>
      <c r="HF15" s="166">
        <f>別紙１④!I110+別紙１④!K110+別紙１④!M110+別紙１④!P110</f>
        <v>57675</v>
      </c>
      <c r="HG15" s="166">
        <f>別紙１④!W110</f>
        <v>0</v>
      </c>
      <c r="HH15" s="895"/>
      <c r="HI15" s="169">
        <f>別紙１④!Z270</f>
        <v>0</v>
      </c>
      <c r="HJ15" s="168">
        <f>別紙１④!Q272</f>
        <v>0</v>
      </c>
      <c r="HK15" s="889"/>
      <c r="HL15" s="172">
        <f>IF(別紙２①!G6="〇",1,"")</f>
        <v>1</v>
      </c>
      <c r="HM15" s="172" t="str">
        <f>IF(別紙２①!G8="〇",1,"")</f>
        <v/>
      </c>
      <c r="HN15" s="856">
        <f>DP15+EO15+EU15+FJ15+GJ15+GZ15+HG15</f>
        <v>1190373</v>
      </c>
      <c r="HO15" s="856">
        <f>DQ15+EP15+EV15+FK15+GK15+HA15+HH15</f>
        <v>0</v>
      </c>
      <c r="HP15" s="856">
        <f t="shared" ref="HP15" si="71">HN15-HR15</f>
        <v>1150373</v>
      </c>
      <c r="HQ15" s="857">
        <f t="shared" ref="HQ15" si="72">HP15/HN15</f>
        <v>0.96639708729952711</v>
      </c>
      <c r="HR15" s="162">
        <f>別紙１④!M241</f>
        <v>40000</v>
      </c>
      <c r="HS15" s="854"/>
      <c r="HT15" s="856">
        <f>HN15+HS15</f>
        <v>1190373</v>
      </c>
      <c r="HU15" s="854"/>
      <c r="HV15" s="856">
        <f>HW15+HX15+HY15+HZ15+IA15+IB15+IC15+ID15+IE15+IF15+IG15+IH15+II15+IJ15</f>
        <v>4000000</v>
      </c>
      <c r="HW15" s="856">
        <f>別紙１④!R205</f>
        <v>300000</v>
      </c>
      <c r="HX15" s="856">
        <f>別紙１④!R206</f>
        <v>30000</v>
      </c>
      <c r="HY15" s="876">
        <f>別紙１④!R211</f>
        <v>1000000</v>
      </c>
      <c r="HZ15" s="876">
        <f>別紙１④!R213</f>
        <v>800000</v>
      </c>
      <c r="IA15" s="856">
        <f>別紙１④!R215</f>
        <v>500000</v>
      </c>
      <c r="IB15" s="856">
        <f>別紙１④!R216</f>
        <v>500000</v>
      </c>
      <c r="IC15" s="856">
        <f>別紙１④!R217</f>
        <v>600000</v>
      </c>
      <c r="ID15" s="856">
        <f>別紙１④!R218</f>
        <v>30000</v>
      </c>
      <c r="IE15" s="856">
        <f>別紙１④!R210</f>
        <v>20000</v>
      </c>
      <c r="IF15" s="856">
        <f>別紙１④!R209</f>
        <v>100000</v>
      </c>
      <c r="IG15" s="856">
        <f>別紙１④!R207</f>
        <v>20000</v>
      </c>
      <c r="IH15" s="856">
        <f>別紙１④!R208</f>
        <v>100000</v>
      </c>
      <c r="II15" s="854"/>
      <c r="IJ15" s="854"/>
      <c r="IK15" s="854"/>
      <c r="IL15" s="852">
        <f>SUM(IN15:IV15)</f>
        <v>2</v>
      </c>
      <c r="IM15" s="173">
        <f>IF(別紙１④!A155="✓",1,"")</f>
        <v>1</v>
      </c>
      <c r="IN15" s="173">
        <f>IF(別紙１④!A157="〇",1,"")</f>
        <v>1</v>
      </c>
      <c r="IO15" s="173" t="str">
        <f>IF(別紙１④!A158="〇",1,"")</f>
        <v/>
      </c>
      <c r="IP15" s="173" t="str">
        <f>IF(別紙１④!A159="〇",1,"")</f>
        <v/>
      </c>
      <c r="IQ15" s="173" t="str">
        <f>IF(別紙１④!A160="〇",1,"")</f>
        <v/>
      </c>
      <c r="IR15" s="173">
        <f>IF(別紙１④!A161="〇",1,"")</f>
        <v>1</v>
      </c>
      <c r="IS15" s="173" t="str">
        <f>IF(別紙１④!A162="〇",1,"")</f>
        <v/>
      </c>
      <c r="IT15" s="173" t="str">
        <f>IF(別紙１④!A163="〇",1,"")</f>
        <v/>
      </c>
      <c r="IU15" s="173" t="str">
        <f>IF(別紙１④!A164="〇",1,"")</f>
        <v/>
      </c>
      <c r="IV15" s="173" t="str">
        <f>IF(別紙１④!A165="〇",1,"")</f>
        <v/>
      </c>
      <c r="IW15" s="852">
        <f>SUM(IX15:IZ15)</f>
        <v>3</v>
      </c>
      <c r="IX15" s="159">
        <f>IF(OR(別紙１④!H169="〇",別紙１④!N169="〇",別紙１④!S169="〇"),1,"")</f>
        <v>1</v>
      </c>
      <c r="IY15" s="159">
        <f>IF(OR(別紙１④!H170="〇",別紙１④!N170="〇",別紙１④!S170="〇"),1,"")</f>
        <v>1</v>
      </c>
      <c r="IZ15" s="159">
        <f>IF(別紙１④!D171&lt;&gt;"",1,"")</f>
        <v>1</v>
      </c>
      <c r="JA15" s="852">
        <f>SUM(JB15:JK15)</f>
        <v>1</v>
      </c>
      <c r="JB15" s="159">
        <f>IF(別紙１④!A177="〇",1,"")</f>
        <v>1</v>
      </c>
      <c r="JC15" s="159" t="str">
        <f>IF(別紙１④!A178="〇",1,"")</f>
        <v/>
      </c>
      <c r="JD15" s="159" t="str">
        <f>IF(別紙１④!A179="〇",1,"")</f>
        <v/>
      </c>
      <c r="JE15" s="159" t="str">
        <f>IF(別紙１④!A180="〇",1,"")</f>
        <v/>
      </c>
      <c r="JF15" s="159" t="str">
        <f>IF(別紙１④!A181="〇",1,"")</f>
        <v/>
      </c>
      <c r="JG15" s="159" t="str">
        <f>IF(別紙１④!A182="〇",1,"")</f>
        <v/>
      </c>
      <c r="JH15" s="159" t="str">
        <f>IF(別紙１④!A183="〇",1,"")</f>
        <v/>
      </c>
      <c r="JI15" s="159" t="str">
        <f>IF(別紙１④!A184="〇",1,"")</f>
        <v/>
      </c>
      <c r="JJ15" s="159" t="str">
        <f>IF(別紙１④!A185="〇",1,"")</f>
        <v/>
      </c>
      <c r="JK15" s="159" t="str">
        <f>IF(別紙１④!A186="〇",1,"")</f>
        <v/>
      </c>
      <c r="JL15" s="852">
        <f t="shared" ref="JL15" si="73">SUM(JM15:JP15)</f>
        <v>2</v>
      </c>
      <c r="JM15" s="159">
        <f>IF(別紙１④!B130="〇",1,"")</f>
        <v>1</v>
      </c>
      <c r="JN15" s="159">
        <f>IF(別紙１④!B131="〇",1,"")</f>
        <v>1</v>
      </c>
      <c r="JO15" s="159" t="str">
        <f>IF(別紙１④!B132="〇",1,"")</f>
        <v/>
      </c>
      <c r="JP15" s="159" t="str">
        <f>IF(別紙１④!B133="〇",1,"")</f>
        <v/>
      </c>
      <c r="JQ15" s="159" t="str">
        <f>別紙１④!D134&amp;""</f>
        <v xml:space="preserve">例)農業生産活動の継続に向けた集落機能強化
</v>
      </c>
      <c r="JR15" s="851">
        <f>SUM(JS15:KB15)</f>
        <v>2</v>
      </c>
      <c r="JS15" s="159">
        <f>IF(別紙１④!B139="〇",1,"")</f>
        <v>1</v>
      </c>
      <c r="JT15" s="159" t="str">
        <f>IF(別紙１④!B140="〇",1,"")</f>
        <v/>
      </c>
      <c r="JU15" s="159" t="str">
        <f>IF(別紙１④!B141="〇",1,"")</f>
        <v/>
      </c>
      <c r="JV15" s="159" t="str">
        <f>IF(別紙１④!B142="〇",1,"")</f>
        <v/>
      </c>
      <c r="JW15" s="159" t="str">
        <f>IF(別紙１④!B143="〇",1,"")</f>
        <v/>
      </c>
      <c r="JX15" s="159" t="str">
        <f>IF(別紙１④!B144="〇",1,"")</f>
        <v/>
      </c>
      <c r="JY15" s="159" t="str">
        <f>IF(別紙１④!B145="〇",1,"")</f>
        <v/>
      </c>
      <c r="JZ15" s="159">
        <f>IF(別紙１④!B146="〇",1,"")</f>
        <v>1</v>
      </c>
      <c r="KA15" s="159" t="str">
        <f>IF(別紙１④!B147="〇",1,"")</f>
        <v/>
      </c>
      <c r="KB15" s="159" t="str">
        <f>IF(別紙１④!B148="〇",1,"")</f>
        <v/>
      </c>
      <c r="KC15" s="159" t="str">
        <f>別紙１④!N149&amp;""</f>
        <v/>
      </c>
      <c r="KD15" s="896"/>
      <c r="KE15" s="162">
        <f>IF('別紙２②（ネットワーク化活動計画）'!B17="○",1,"")</f>
        <v>1</v>
      </c>
      <c r="KF15" s="159">
        <f>IF('別紙２②（ネットワーク化活動計画）'!B19="○",1,"")</f>
        <v>1</v>
      </c>
      <c r="KG15" s="159">
        <f>IF('別紙２②（ネットワーク化活動計画）'!B21="○",1,"")</f>
        <v>1</v>
      </c>
      <c r="KH15" s="710" t="str">
        <f>'別紙２③（ネットワーク化）'!$B$6&amp;""</f>
        <v>農林地域集落協定ネットワーク協議会</v>
      </c>
      <c r="KI15" s="162">
        <f>COUNTIFS('別紙２③（ネットワーク化）'!$B$11:$B$14,"&lt;&gt;")</f>
        <v>3</v>
      </c>
      <c r="KJ15" s="771">
        <f>'別紙２③（ネットワーク化）'!$F$15</f>
        <v>122.25</v>
      </c>
      <c r="KK15" s="162">
        <f>IF('別紙２③（ネットワーク化）'!$B$23="○",1,"")</f>
        <v>1</v>
      </c>
      <c r="KL15" s="162">
        <f>IF('別紙２③（ネットワーク化）'!$B$21="○",1,"")</f>
        <v>1</v>
      </c>
      <c r="KM15" s="162" t="str">
        <f>IF('別紙２③（ネットワーク化）'!$B$22="○",1,"")</f>
        <v/>
      </c>
      <c r="KN15" s="162">
        <f>IF('別紙２③（ネットワーク化）'!$B$23="○",1,"")</f>
        <v>1</v>
      </c>
      <c r="KO15" s="162" t="str">
        <f>IF('別紙２③（ネットワーク化）'!$H$20="○",1,"")</f>
        <v/>
      </c>
      <c r="KP15" s="162">
        <f>IF('別紙２③（ネットワーク化）'!$H$21="○",1,"")</f>
        <v>1</v>
      </c>
      <c r="KQ15" s="162" t="str">
        <f>IF('別紙２③（ネットワーク化）'!$H$22="○",1,"")</f>
        <v/>
      </c>
      <c r="KR15" s="162" t="str">
        <f>'別紙２③（ネットワーク化）'!J23&amp;""</f>
        <v/>
      </c>
      <c r="KS15" s="162">
        <f>IF('別紙２③（ネットワーク化）'!$B$29="○",1,"")</f>
        <v>1</v>
      </c>
      <c r="KT15" s="162" t="str">
        <f>IF('別紙２③（ネットワーク化）'!$B$31="○",1,"")</f>
        <v/>
      </c>
      <c r="KU15" s="162" t="str">
        <f>IF('別紙２③（ネットワーク化）'!$B$32="○",1,"")</f>
        <v/>
      </c>
      <c r="KV15" s="162" t="str">
        <f>IF('別紙２③（ネットワーク化）'!$B$33="○",1,"")</f>
        <v/>
      </c>
      <c r="KW15" s="162">
        <f>IF('別紙２③（ネットワーク化）'!$B$34="○",1,"")</f>
        <v>1</v>
      </c>
      <c r="KX15" s="162">
        <f>IF('別紙２③（ネットワーク化）'!$H$29="○",1,"")</f>
        <v>1</v>
      </c>
      <c r="KY15" s="162">
        <f>IF('別紙２③（ネットワーク化）'!$H$30="○",1,"")</f>
        <v>1</v>
      </c>
      <c r="KZ15" s="162">
        <f>IF('別紙２③（ネットワーク化）'!$H$31="○",1,"")</f>
        <v>1</v>
      </c>
      <c r="LA15" s="162" t="str">
        <f>IF('別紙２③（ネットワーク化）'!$H$32="○",1,"")</f>
        <v/>
      </c>
      <c r="LB15" s="162" t="str">
        <f>IF('別紙２③（ネットワーク化）'!$H$33="○",1,"")</f>
        <v/>
      </c>
      <c r="LC15" s="168" t="str">
        <f>'別紙２③（ネットワーク化）'!J34&amp;""</f>
        <v/>
      </c>
      <c r="LD15" s="710">
        <f>IF('別紙２③（ネットワーク化）'!$B$38="○",1,"")</f>
        <v>1</v>
      </c>
      <c r="LE15" s="710">
        <f>IF('別紙２③（ネットワーク化）'!$B$39="○",1,"")</f>
        <v>1</v>
      </c>
      <c r="LF15" s="710" t="str">
        <f>IF('別紙２③（ネットワーク化）'!$G$38="○",1,"")</f>
        <v/>
      </c>
      <c r="LG15" s="710" t="str">
        <f>IF('別紙２③（ネットワーク化）'!$G$39="○",1,"")</f>
        <v/>
      </c>
      <c r="LH15" s="162" t="str">
        <f>'別紙２③（ネットワーク化）'!J39&amp;""</f>
        <v/>
      </c>
      <c r="LI15" s="854"/>
      <c r="LJ15" s="162" t="str">
        <f>IF('別紙２③（ネットワーク化）'!$B$65="○",1,"")</f>
        <v/>
      </c>
      <c r="LK15" s="162">
        <f>IF('別紙２③（ネットワーク化）'!$B$66="○",1,"")</f>
        <v>1</v>
      </c>
      <c r="LL15" s="162" t="str">
        <f>IF('別紙２③（ネットワーク化）'!$B$67="○",1,"")</f>
        <v/>
      </c>
      <c r="LM15" s="162" t="str">
        <f>IF('別紙２③（ネットワーク化）'!$B$68="○",1,"")</f>
        <v/>
      </c>
      <c r="LN15" s="162" t="str">
        <f>IF('別紙２③（ネットワーク化）'!$B$69="○",1,"")</f>
        <v/>
      </c>
      <c r="LO15" s="162" t="str">
        <f>IF('別紙２③（ネットワーク化）'!$B$70="○",1,"")</f>
        <v/>
      </c>
      <c r="LP15" s="162" t="str">
        <f>'別紙２③（ネットワーク化）'!F70&amp;""</f>
        <v/>
      </c>
      <c r="LQ15" s="162" t="str">
        <f>'別紙２④（統合）'!$B$6&amp;""</f>
        <v>農林地域広域集落協定</v>
      </c>
      <c r="LR15" s="710">
        <f>COUNTIFS('別紙２④（統合）'!$B$11:$B$14,"&lt;&gt;")</f>
        <v>3</v>
      </c>
      <c r="LS15" s="771">
        <f>'別紙２④（統合）'!$F$15</f>
        <v>119.55</v>
      </c>
      <c r="LT15" s="162" t="str">
        <f>IF('別紙２④（統合）'!$B$20="○",1,"")</f>
        <v/>
      </c>
      <c r="LU15" s="162">
        <f>IF('別紙２④（統合）'!$B$21="○",1,"")</f>
        <v>1</v>
      </c>
      <c r="LV15" s="162" t="str">
        <f>IF('別紙２④（統合）'!$B$22="○",1,"")</f>
        <v/>
      </c>
      <c r="LW15" s="162">
        <f>IF('別紙２④（統合）'!$B$23="○",1,"")</f>
        <v>1</v>
      </c>
      <c r="LX15" s="162" t="str">
        <f>IF('別紙２④（統合）'!$H$20="○",1,"")</f>
        <v/>
      </c>
      <c r="LY15" s="162" t="str">
        <f>IF('別紙２④（統合）'!$H$21="○",1,"")</f>
        <v/>
      </c>
      <c r="LZ15" s="162">
        <f>IF('別紙２④（統合）'!$H$22="○",1,"")</f>
        <v>1</v>
      </c>
      <c r="MA15" s="162" t="str">
        <f>'別紙２④（統合）'!$J$23&amp;""</f>
        <v>農作業機械の老朽化及びオペレーターの不足</v>
      </c>
      <c r="MB15" s="162">
        <f>IF('別紙２④（統合）'!$B$29="○",1,"")</f>
        <v>1</v>
      </c>
      <c r="MC15" s="162" t="str">
        <f>IF('別紙２④（統合）'!$B$30="○",1,"")</f>
        <v/>
      </c>
      <c r="MD15" s="162">
        <f>IF('別紙２④（統合）'!$B$31="○",1,"")</f>
        <v>1</v>
      </c>
      <c r="ME15" s="162">
        <f>IF('別紙２④（統合）'!$B$32="○",1,"")</f>
        <v>1</v>
      </c>
      <c r="MF15" s="162">
        <f>IF('別紙２④（統合）'!$B$33="○",1,"")</f>
        <v>1</v>
      </c>
      <c r="MG15" s="162" t="str">
        <f>IF('別紙２④（統合）'!$H$29="○",1,"")</f>
        <v/>
      </c>
      <c r="MH15" s="162" t="str">
        <f>IF('別紙２④（統合）'!$H$30="○",1,"")</f>
        <v/>
      </c>
      <c r="MI15" s="162" t="str">
        <f>IF('別紙２④（統合）'!$H$31="○",1,"")</f>
        <v/>
      </c>
      <c r="MJ15" s="162">
        <f>IF('別紙２④（統合）'!$H$32="○",1,"")</f>
        <v>1</v>
      </c>
      <c r="MK15" s="162">
        <f>IF('別紙２④（統合）'!$H$33="○",1,"")</f>
        <v>1</v>
      </c>
      <c r="ML15" s="162" t="str">
        <f>IF('別紙２④（統合）'!$H$34="○",1,"")</f>
        <v/>
      </c>
      <c r="MM15" s="162" t="str">
        <f>'別紙２④（統合）'!$J$34&amp;""</f>
        <v>農作業機械のオペレーターの確保</v>
      </c>
      <c r="MN15" s="854"/>
      <c r="MO15" s="715">
        <f>MP15+MZ15</f>
        <v>0</v>
      </c>
      <c r="MP15" s="715">
        <f>SUM(MQ15:MY15)</f>
        <v>0</v>
      </c>
      <c r="MQ15" s="877"/>
      <c r="MR15" s="877"/>
      <c r="MS15" s="877"/>
      <c r="MT15" s="877"/>
      <c r="MU15" s="877"/>
      <c r="MV15" s="877"/>
      <c r="MW15" s="877"/>
      <c r="MX15" s="877"/>
      <c r="MY15" s="877"/>
      <c r="MZ15" s="715">
        <f>SUM(NA15:NI15)</f>
        <v>0</v>
      </c>
      <c r="NA15" s="877"/>
      <c r="NB15" s="877"/>
      <c r="NC15" s="877"/>
      <c r="ND15" s="877"/>
      <c r="NE15" s="877"/>
      <c r="NF15" s="877"/>
      <c r="NG15" s="877"/>
      <c r="NH15" s="877"/>
      <c r="NI15" s="877"/>
      <c r="NJ15" s="715">
        <f>NK15+NL15</f>
        <v>7</v>
      </c>
      <c r="NK15" s="851">
        <f>R15</f>
        <v>2</v>
      </c>
      <c r="NL15" s="159">
        <f>'別紙２⑤（多様な組織等の参画）'!G22</f>
        <v>5</v>
      </c>
      <c r="NM15" s="162">
        <f>IF('別紙２⑤（多様な組織等の参画）'!$B$31="○",1,"")</f>
        <v>1</v>
      </c>
      <c r="NN15" s="162">
        <f>IF('別紙２⑤（多様な組織等の参画）'!$B$32="○",1,"")</f>
        <v>1</v>
      </c>
      <c r="NO15" s="162" t="str">
        <f>IF('別紙２⑤（多様な組織等の参画）'!$B$33="○",1,"")</f>
        <v/>
      </c>
      <c r="NP15" s="162" t="str">
        <f>IF('別紙２⑤（多様な組織等の参画）'!$H$31="○",1,"")</f>
        <v/>
      </c>
      <c r="NQ15" s="162">
        <f>IF('別紙２⑤（多様な組織等の参画）'!$H$32="○",1,"")</f>
        <v>1</v>
      </c>
      <c r="NR15" s="162" t="str">
        <f>'別紙２⑤（多様な組織等の参画）'!$J$33&amp;""</f>
        <v>棚田の荒廃</v>
      </c>
      <c r="NS15" s="162">
        <f>IF('別紙２⑤（多様な組織等の参画）'!$B$39="○",1,"")</f>
        <v>1</v>
      </c>
      <c r="NT15" s="162">
        <f>IF('別紙２⑤（多様な組織等の参画）'!$B$40="○",1,"")</f>
        <v>1</v>
      </c>
      <c r="NU15" s="162" t="str">
        <f>IF('別紙２⑤（多様な組織等の参画）'!$B$41="○",1,"")</f>
        <v/>
      </c>
      <c r="NV15" s="162">
        <f>IF('別紙２⑤（多様な組織等の参画）'!$B$42="○",1,"")</f>
        <v>1</v>
      </c>
      <c r="NW15" s="162" t="str">
        <f>IF('別紙２⑤（多様な組織等の参画）'!$B$43="○",1,"")</f>
        <v/>
      </c>
      <c r="NX15" s="162" t="str">
        <f>IF('別紙２⑤（多様な組織等の参画）'!$H$39="○",1,"")</f>
        <v/>
      </c>
      <c r="NY15" s="162">
        <f>IF('別紙２⑤（多様な組織等の参画）'!$H$40="○",1,"")</f>
        <v>1</v>
      </c>
      <c r="NZ15" s="162">
        <f>IF('別紙２⑤（多様な組織等の参画）'!$H$41="○",1,"")</f>
        <v>1</v>
      </c>
      <c r="OA15" s="162" t="str">
        <f>'別紙２⑤（多様な組織等の参画）'!$J$42&amp;""</f>
        <v>棚田資源を活かした振興活動</v>
      </c>
      <c r="OB15" s="877"/>
    </row>
  </sheetData>
  <autoFilter ref="A14:AD15"/>
  <dataConsolidate/>
  <mergeCells count="450">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DG9:DG12"/>
    <mergeCell ref="DH9:DH12"/>
    <mergeCell ref="DI9:DI12"/>
    <mergeCell ref="DK9:DK12"/>
    <mergeCell ref="CX9:CX12"/>
    <mergeCell ref="CY9:CY12"/>
    <mergeCell ref="CZ9:CZ12"/>
    <mergeCell ref="DA9:DA12"/>
    <mergeCell ref="DC9:DC12"/>
    <mergeCell ref="DD9:DD12"/>
    <mergeCell ref="DJ8:DJ12"/>
    <mergeCell ref="DK8:DO8"/>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KW8:KW12"/>
    <mergeCell ref="KX8:KX12"/>
    <mergeCell ref="KY8:KY12"/>
    <mergeCell ref="KM8:KM12"/>
    <mergeCell ref="KN8:KN12"/>
    <mergeCell ref="KO8:KO12"/>
    <mergeCell ref="KP8:KP12"/>
    <mergeCell ref="KQ8:KQ12"/>
    <mergeCell ref="KS8:KS12"/>
    <mergeCell ref="KR9:KR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BH8:BH12"/>
    <mergeCell ref="BI8:BI12"/>
    <mergeCell ref="BJ8:BJ12"/>
    <mergeCell ref="BK8:BP8"/>
    <mergeCell ref="BQ8:BQ12"/>
    <mergeCell ref="BR8:BW8"/>
    <mergeCell ref="BT9:BT12"/>
    <mergeCell ref="BU9:BU12"/>
    <mergeCell ref="BV9:BV12"/>
    <mergeCell ref="BW9:BW12"/>
    <mergeCell ref="BB8:BB12"/>
    <mergeCell ref="BD8:BD12"/>
    <mergeCell ref="BE8:BE12"/>
    <mergeCell ref="BF8:BF12"/>
    <mergeCell ref="BG8:BG12"/>
    <mergeCell ref="AT8:AT12"/>
    <mergeCell ref="AV8:AV12"/>
    <mergeCell ref="AW8:AW12"/>
    <mergeCell ref="AX8:AX12"/>
    <mergeCell ref="AY8:AY12"/>
    <mergeCell ref="AZ8:AZ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HY6:HY12"/>
    <mergeCell ref="HZ6:HZ12"/>
    <mergeCell ref="IA6:IA12"/>
    <mergeCell ref="IB6:IB12"/>
    <mergeCell ref="IC6:IC12"/>
    <mergeCell ref="ID6:ID12"/>
    <mergeCell ref="HS6:HS12"/>
    <mergeCell ref="HT6:HT12"/>
    <mergeCell ref="HU6:HU12"/>
    <mergeCell ref="HV6:HV12"/>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s>
  <phoneticPr fontId="3"/>
  <conditionalFormatting sqref="K2">
    <cfRule type="cellIs" dxfId="3" priority="4" operator="notEqual">
      <formula>$M$2+#REF!+#REF!+#REF!+#REF!+#REF!+#REF!+#REF!+$P$2+$Q$2+$R$2+$S$2</formula>
    </cfRule>
  </conditionalFormatting>
  <conditionalFormatting sqref="T2">
    <cfRule type="cellIs" dxfId="2" priority="3" operator="notEqual">
      <formula>$U$2+$V$2+$W$2+$X$2+$Y$2+$Z$2+$AA$2+$AB$2+$AC$2+$AD$2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formula1>"1,2"</formula1>
    </dataValidation>
    <dataValidation type="list" allowBlank="1" showInputMessage="1" showErrorMessage="1" sqref="J15">
      <formula1>"0,1,2,3"</formula1>
    </dataValidation>
    <dataValidation type="custom" allowBlank="1" showInputMessage="1" errorTitle="関数セル" error="入力不要" sqref="KD7:KD14 KE7:KG7 KE13:KG14">
      <formula1>"IF(SUM(I11:N11)&gt;0,1,0)"</formula1>
    </dataValidation>
  </dataValidations>
  <pageMargins left="0.39370078740157483" right="0.39370078740157483" top="0.98425196850393704" bottom="0.98425196850393704" header="0.51181102362204722" footer="0.51181102362204722"/>
  <pageSetup paperSize="9" fitToHeight="0" orientation="landscape"/>
  <headerFooter alignWithMargins="0">
    <oddHeader>&amp;L&amp;18集落協定ＤＳ</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40</vt:i4>
      </vt:variant>
    </vt:vector>
  </HeadingPairs>
  <TitlesOfParts>
    <vt:vector size="72" baseType="lpstr">
      <vt:lpstr>はじめに</vt:lpstr>
      <vt:lpstr>プルダウンリスト</vt:lpstr>
      <vt:lpstr>参４_申請</vt:lpstr>
      <vt:lpstr>参４_申請_事業計画</vt:lpstr>
      <vt:lpstr>別紙１①</vt:lpstr>
      <vt:lpstr>別紙１②</vt:lpstr>
      <vt:lpstr>別紙１③</vt:lpstr>
      <vt:lpstr>別紙１④</vt:lpstr>
      <vt:lpstr>別紙２①</vt:lpstr>
      <vt:lpstr>別紙３</vt:lpstr>
      <vt:lpstr>別紙４</vt:lpstr>
      <vt:lpstr>別紙８ (記入例)</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【選択肢】</vt:lpstr>
      <vt:lpstr>金銭出納簿（今年度）（参考）</vt:lpstr>
      <vt:lpstr>金銭出納簿（前年度）（参考） </vt:lpstr>
      <vt:lpstr>活動記録（多面的機能支払交付金の様式）</vt:lpstr>
      <vt:lpstr>【活動項目番号表】 </vt:lpstr>
      <vt:lpstr>金銭出納簿（多面的機能支払交付金の様式）</vt:lpstr>
      <vt:lpstr>実施状況報告（様式2）</vt:lpstr>
      <vt:lpstr>'【活動項目番号表】 '!Print_Area</vt:lpstr>
      <vt:lpstr>【選択肢】!Print_Area</vt:lpstr>
      <vt:lpstr>はじめに!Print_Area</vt:lpstr>
      <vt:lpstr>'活動記録（参考） '!Print_Area</vt:lpstr>
      <vt:lpstr>'活動記録（多面的機能支払交付金の様式）'!Print_Area</vt:lpstr>
      <vt:lpstr>'金銭出納簿（今年度）（参考）'!Print_Area</vt:lpstr>
      <vt:lpstr>'金銭出納簿（前年度）（参考） '!Print_Area</vt:lpstr>
      <vt:lpstr>'金銭出納簿（多面的機能支払交付金の様式）'!Print_Area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支出に係る届出!Print_Area</vt:lpstr>
      <vt:lpstr>'実施状況報告（様式2）'!Print_Area</vt:lpstr>
      <vt:lpstr>'収支報告書（金銭出納簿連動）'!Print_Area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'別紙８ (記入例)'!Print_Area</vt:lpstr>
      <vt:lpstr>'活動記録（参考） '!Print_Titles</vt:lpstr>
      <vt:lpstr>'活動記録（多面的機能支払交付金の様式）'!Print_Titles</vt:lpstr>
      <vt:lpstr>'金銭出納簿（今年度）（参考）'!Print_Titles</vt:lpstr>
      <vt:lpstr>'金銭出納簿（前年度）（参考） '!Print_Titles</vt:lpstr>
      <vt:lpstr>'金銭出納簿（多面的機能支払交付金の様式）'!Print_Titles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真﨑　航大</dc:creator>
  <cp:lastModifiedBy>user</cp:lastModifiedBy>
  <cp:lastPrinted>2025-05-12T01:25:03Z</cp:lastPrinted>
  <dcterms:created xsi:type="dcterms:W3CDTF">2023-01-27T04:19:32Z</dcterms:created>
  <dcterms:modified xsi:type="dcterms:W3CDTF">2025-05-12T01:25:28Z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0x01010078BC6F703ADD5C48B5E0E3DD9C00F8E1</vt:lpwstr>
  </property>
  <property fmtid="{D5CDD505-2E9C-101B-9397-08002B2CF9AE}" pid="3" name="MediaServiceImageTags">
    <vt:lpwstr/>
  </property>
</Properties>
</file>